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tsbgov-my.sharepoint.com/personal/raynerb_ntsb_gov/Documents/Documents/2023 Cases/ERA23LA126 Rochester, NY/Docket/"/>
    </mc:Choice>
  </mc:AlternateContent>
  <xr:revisionPtr revIDLastSave="122" documentId="8_{60366A96-CEC9-409B-8ECC-098D32CEE4B8}" xr6:coauthVersionLast="47" xr6:coauthVersionMax="47" xr10:uidLastSave="{9877DD41-5664-4FF6-9C86-22758230D5A2}"/>
  <bookViews>
    <workbookView xWindow="-110" yWindow="-110" windowWidth="25820" windowHeight="14020" xr2:uid="{2C10504D-0CE3-4D1F-99C8-37840509141F}"/>
  </bookViews>
  <sheets>
    <sheet name="groundspeed" sheetId="3" r:id="rId1"/>
    <sheet name="20230211_A7C771_507513747_ADSB_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73" i="1" l="1"/>
  <c r="E573" i="1" s="1"/>
  <c r="A572" i="1"/>
  <c r="E572" i="1" s="1"/>
  <c r="A571" i="1"/>
  <c r="E571" i="1" s="1"/>
  <c r="A570" i="1"/>
  <c r="E570" i="1" s="1"/>
  <c r="A569" i="1"/>
  <c r="E569" i="1" s="1"/>
  <c r="A568" i="1"/>
  <c r="E568" i="1" s="1"/>
  <c r="A567" i="1"/>
  <c r="E567" i="1" s="1"/>
  <c r="A566" i="1"/>
  <c r="E566" i="1" s="1"/>
  <c r="A565" i="1"/>
  <c r="E565" i="1" s="1"/>
  <c r="A564" i="1"/>
  <c r="E564" i="1" s="1"/>
  <c r="A563" i="1"/>
  <c r="E563" i="1" s="1"/>
  <c r="A562" i="1"/>
  <c r="E562" i="1" s="1"/>
  <c r="A561" i="1"/>
  <c r="E561" i="1" s="1"/>
  <c r="A560" i="1"/>
  <c r="E560" i="1" s="1"/>
  <c r="A559" i="1"/>
  <c r="E559" i="1" s="1"/>
  <c r="A558" i="1"/>
  <c r="E558" i="1" s="1"/>
  <c r="A557" i="1"/>
  <c r="E557" i="1" s="1"/>
  <c r="A556" i="1"/>
  <c r="E556" i="1" s="1"/>
  <c r="A555" i="1"/>
  <c r="E555" i="1" s="1"/>
  <c r="A554" i="1"/>
  <c r="E554" i="1" s="1"/>
  <c r="A553" i="1"/>
  <c r="E553" i="1" s="1"/>
  <c r="A552" i="1"/>
  <c r="E552" i="1" s="1"/>
  <c r="A551" i="1"/>
  <c r="E551" i="1" s="1"/>
  <c r="A550" i="1"/>
  <c r="E550" i="1" s="1"/>
  <c r="A549" i="1"/>
  <c r="E549" i="1" s="1"/>
  <c r="A548" i="1"/>
  <c r="E548" i="1" s="1"/>
  <c r="A547" i="1"/>
  <c r="E547" i="1" s="1"/>
  <c r="A546" i="1"/>
  <c r="E546" i="1" s="1"/>
  <c r="A545" i="1"/>
  <c r="E545" i="1" s="1"/>
  <c r="A544" i="1"/>
  <c r="E544" i="1" s="1"/>
  <c r="A543" i="1"/>
  <c r="E543" i="1" s="1"/>
  <c r="A542" i="1"/>
  <c r="E542" i="1" s="1"/>
  <c r="A541" i="1"/>
  <c r="E541" i="1" s="1"/>
  <c r="A540" i="1"/>
  <c r="E540" i="1" s="1"/>
  <c r="A539" i="1"/>
  <c r="E539" i="1" s="1"/>
  <c r="A538" i="1"/>
  <c r="E538" i="1" s="1"/>
  <c r="A537" i="1"/>
  <c r="E537" i="1" s="1"/>
  <c r="A536" i="1"/>
  <c r="E536" i="1" s="1"/>
  <c r="A535" i="1"/>
  <c r="E535" i="1" s="1"/>
  <c r="A534" i="1"/>
  <c r="E534" i="1" s="1"/>
  <c r="A533" i="1"/>
  <c r="E533" i="1" s="1"/>
  <c r="A532" i="1"/>
  <c r="E532" i="1" s="1"/>
  <c r="A531" i="1"/>
  <c r="E531" i="1" s="1"/>
  <c r="A530" i="1"/>
  <c r="E530" i="1" s="1"/>
  <c r="A529" i="1"/>
  <c r="E529" i="1" s="1"/>
  <c r="A528" i="1"/>
  <c r="E528" i="1" s="1"/>
  <c r="A527" i="1"/>
  <c r="E527" i="1" s="1"/>
  <c r="A526" i="1"/>
  <c r="E526" i="1" s="1"/>
  <c r="A525" i="1"/>
  <c r="E525" i="1" s="1"/>
  <c r="A524" i="1"/>
  <c r="E524" i="1" s="1"/>
  <c r="A523" i="1"/>
  <c r="E523" i="1" s="1"/>
  <c r="A522" i="1"/>
  <c r="E522" i="1" s="1"/>
  <c r="A521" i="1"/>
  <c r="E521" i="1" s="1"/>
  <c r="A520" i="1"/>
  <c r="E520" i="1" s="1"/>
  <c r="A519" i="1"/>
  <c r="E519" i="1" s="1"/>
  <c r="A518" i="1"/>
  <c r="E518" i="1" s="1"/>
  <c r="A517" i="1"/>
  <c r="E517" i="1" s="1"/>
  <c r="A516" i="1"/>
  <c r="E516" i="1" s="1"/>
  <c r="A515" i="1"/>
  <c r="E515" i="1" s="1"/>
  <c r="A514" i="1"/>
  <c r="E514" i="1" s="1"/>
  <c r="A513" i="1"/>
  <c r="E513" i="1" s="1"/>
  <c r="A512" i="1"/>
  <c r="E512" i="1" s="1"/>
  <c r="A511" i="1"/>
  <c r="E511" i="1" s="1"/>
  <c r="A510" i="1"/>
  <c r="E510" i="1" s="1"/>
  <c r="A509" i="1"/>
  <c r="E509" i="1" s="1"/>
  <c r="A508" i="1"/>
  <c r="E508" i="1" s="1"/>
  <c r="A507" i="1"/>
  <c r="E507" i="1" s="1"/>
  <c r="A506" i="1"/>
  <c r="E506" i="1" s="1"/>
  <c r="A505" i="1"/>
  <c r="E505" i="1" s="1"/>
  <c r="A504" i="1"/>
  <c r="E504" i="1" s="1"/>
  <c r="A503" i="1"/>
  <c r="E503" i="1" s="1"/>
  <c r="A502" i="1"/>
  <c r="E502" i="1" s="1"/>
  <c r="A501" i="1"/>
  <c r="E501" i="1" s="1"/>
  <c r="A500" i="1"/>
  <c r="E500" i="1" s="1"/>
  <c r="A499" i="1"/>
  <c r="E499" i="1" s="1"/>
  <c r="A498" i="1"/>
  <c r="E498" i="1" s="1"/>
  <c r="A497" i="1"/>
  <c r="E497" i="1" s="1"/>
  <c r="A496" i="1"/>
  <c r="E496" i="1" s="1"/>
  <c r="A495" i="1"/>
  <c r="E495" i="1" s="1"/>
  <c r="A494" i="1"/>
  <c r="E494" i="1" s="1"/>
  <c r="A493" i="1"/>
  <c r="E493" i="1" s="1"/>
  <c r="A492" i="1"/>
  <c r="E492" i="1" s="1"/>
  <c r="A491" i="1"/>
  <c r="E491" i="1" s="1"/>
  <c r="A490" i="1"/>
  <c r="E490" i="1" s="1"/>
  <c r="A489" i="1"/>
  <c r="E489" i="1" s="1"/>
  <c r="A488" i="1"/>
  <c r="E488" i="1" s="1"/>
  <c r="A487" i="1"/>
  <c r="E487" i="1" s="1"/>
  <c r="A486" i="1"/>
  <c r="E486" i="1" s="1"/>
  <c r="A485" i="1"/>
  <c r="E485" i="1" s="1"/>
  <c r="A484" i="1"/>
  <c r="E484" i="1" s="1"/>
  <c r="A483" i="1"/>
  <c r="E483" i="1" s="1"/>
  <c r="A482" i="1"/>
  <c r="E482" i="1" s="1"/>
  <c r="A481" i="1"/>
  <c r="E481" i="1" s="1"/>
  <c r="A480" i="1"/>
  <c r="E480" i="1" s="1"/>
  <c r="A479" i="1"/>
  <c r="E479" i="1" s="1"/>
  <c r="A478" i="1"/>
  <c r="E478" i="1" s="1"/>
  <c r="A477" i="1"/>
  <c r="E477" i="1" s="1"/>
  <c r="A476" i="1"/>
  <c r="E476" i="1" s="1"/>
  <c r="A475" i="1"/>
  <c r="E475" i="1" s="1"/>
  <c r="A474" i="1"/>
  <c r="E474" i="1" s="1"/>
  <c r="A473" i="1"/>
  <c r="E473" i="1" s="1"/>
  <c r="A472" i="1"/>
  <c r="E472" i="1" s="1"/>
  <c r="A471" i="1"/>
  <c r="E471" i="1" s="1"/>
  <c r="A470" i="1"/>
  <c r="E470" i="1" s="1"/>
  <c r="A469" i="1"/>
  <c r="E469" i="1" s="1"/>
  <c r="A468" i="1"/>
  <c r="E468" i="1" s="1"/>
  <c r="A467" i="1"/>
  <c r="E467" i="1" s="1"/>
  <c r="A466" i="1"/>
  <c r="E466" i="1" s="1"/>
  <c r="A465" i="1"/>
  <c r="E465" i="1" s="1"/>
  <c r="A464" i="1"/>
  <c r="E464" i="1" s="1"/>
  <c r="A463" i="1"/>
  <c r="E463" i="1" s="1"/>
  <c r="A462" i="1"/>
  <c r="E462" i="1" s="1"/>
  <c r="A461" i="1"/>
  <c r="E461" i="1" s="1"/>
  <c r="A460" i="1"/>
  <c r="E460" i="1" s="1"/>
  <c r="A459" i="1"/>
  <c r="E459" i="1" s="1"/>
  <c r="A458" i="1"/>
  <c r="E458" i="1" s="1"/>
  <c r="A457" i="1"/>
  <c r="E457" i="1" s="1"/>
  <c r="A456" i="1"/>
  <c r="E456" i="1" s="1"/>
  <c r="A455" i="1"/>
  <c r="E455" i="1" s="1"/>
  <c r="A454" i="1"/>
  <c r="E454" i="1" s="1"/>
  <c r="A453" i="1"/>
  <c r="E453" i="1" s="1"/>
  <c r="A452" i="1"/>
  <c r="E452" i="1" s="1"/>
  <c r="A451" i="1"/>
  <c r="E451" i="1" s="1"/>
  <c r="A450" i="1"/>
  <c r="E450" i="1" s="1"/>
  <c r="A449" i="1"/>
  <c r="E449" i="1" s="1"/>
  <c r="A448" i="1"/>
  <c r="E448" i="1" s="1"/>
  <c r="A447" i="1"/>
  <c r="E447" i="1" s="1"/>
  <c r="A446" i="1"/>
  <c r="E446" i="1" s="1"/>
  <c r="A445" i="1"/>
  <c r="E445" i="1" s="1"/>
  <c r="A444" i="1"/>
  <c r="E444" i="1" s="1"/>
  <c r="A443" i="1"/>
  <c r="E443" i="1" s="1"/>
  <c r="A442" i="1"/>
  <c r="E442" i="1" s="1"/>
  <c r="A441" i="1"/>
  <c r="E441" i="1" s="1"/>
  <c r="A440" i="1"/>
  <c r="E440" i="1" s="1"/>
  <c r="A439" i="1"/>
  <c r="E439" i="1" s="1"/>
  <c r="A438" i="1"/>
  <c r="E438" i="1" s="1"/>
  <c r="A437" i="1"/>
  <c r="E437" i="1" s="1"/>
  <c r="A436" i="1"/>
  <c r="E436" i="1" s="1"/>
  <c r="A435" i="1"/>
  <c r="E435" i="1" s="1"/>
  <c r="A434" i="1"/>
  <c r="E434" i="1" s="1"/>
  <c r="A433" i="1"/>
  <c r="E433" i="1" s="1"/>
  <c r="A432" i="1"/>
  <c r="E432" i="1" s="1"/>
  <c r="A431" i="1"/>
  <c r="E431" i="1" s="1"/>
  <c r="A430" i="1"/>
  <c r="E430" i="1" s="1"/>
  <c r="A429" i="1"/>
  <c r="E429" i="1" s="1"/>
  <c r="A428" i="1"/>
  <c r="E428" i="1" s="1"/>
  <c r="A427" i="1"/>
  <c r="E427" i="1" s="1"/>
  <c r="A426" i="1"/>
  <c r="E426" i="1" s="1"/>
  <c r="A425" i="1"/>
  <c r="E425" i="1" s="1"/>
  <c r="A424" i="1"/>
  <c r="E424" i="1" s="1"/>
  <c r="A423" i="1"/>
  <c r="E423" i="1" s="1"/>
  <c r="A422" i="1"/>
  <c r="E422" i="1" s="1"/>
  <c r="A421" i="1"/>
  <c r="E421" i="1" s="1"/>
  <c r="A420" i="1"/>
  <c r="E420" i="1" s="1"/>
  <c r="A419" i="1"/>
  <c r="E419" i="1" s="1"/>
  <c r="A418" i="1"/>
  <c r="E418" i="1" s="1"/>
  <c r="A417" i="1"/>
  <c r="E417" i="1" s="1"/>
  <c r="A416" i="1"/>
  <c r="E416" i="1" s="1"/>
  <c r="A415" i="1"/>
  <c r="E415" i="1" s="1"/>
  <c r="A414" i="1"/>
  <c r="E414" i="1" s="1"/>
  <c r="A413" i="1"/>
  <c r="E413" i="1" s="1"/>
  <c r="A412" i="1"/>
  <c r="E412" i="1" s="1"/>
  <c r="A411" i="1"/>
  <c r="E411" i="1" s="1"/>
  <c r="A410" i="1"/>
  <c r="E410" i="1" s="1"/>
  <c r="A409" i="1"/>
  <c r="E409" i="1" s="1"/>
  <c r="A408" i="1"/>
  <c r="E408" i="1" s="1"/>
  <c r="A407" i="1"/>
  <c r="E407" i="1" s="1"/>
  <c r="A406" i="1"/>
  <c r="E406" i="1" s="1"/>
  <c r="A405" i="1"/>
  <c r="E405" i="1" s="1"/>
  <c r="A404" i="1"/>
  <c r="E404" i="1" s="1"/>
  <c r="A403" i="1"/>
  <c r="E403" i="1" s="1"/>
  <c r="A402" i="1"/>
  <c r="E402" i="1" s="1"/>
  <c r="A401" i="1"/>
  <c r="E401" i="1" s="1"/>
  <c r="A400" i="1"/>
  <c r="E400" i="1" s="1"/>
  <c r="A399" i="1"/>
  <c r="E399" i="1" s="1"/>
  <c r="A398" i="1"/>
  <c r="E398" i="1" s="1"/>
  <c r="A397" i="1"/>
  <c r="E397" i="1" s="1"/>
  <c r="A396" i="1"/>
  <c r="E396" i="1" s="1"/>
  <c r="A395" i="1"/>
  <c r="E395" i="1" s="1"/>
  <c r="A394" i="1"/>
  <c r="E394" i="1" s="1"/>
  <c r="A393" i="1"/>
  <c r="E393" i="1" s="1"/>
  <c r="A392" i="1"/>
  <c r="E392" i="1" s="1"/>
  <c r="A391" i="1"/>
  <c r="E391" i="1" s="1"/>
  <c r="A390" i="1"/>
  <c r="E390" i="1" s="1"/>
  <c r="A389" i="1"/>
  <c r="E389" i="1" s="1"/>
  <c r="A388" i="1"/>
  <c r="E388" i="1" s="1"/>
  <c r="A387" i="1"/>
  <c r="E387" i="1" s="1"/>
  <c r="A386" i="1"/>
  <c r="E386" i="1" s="1"/>
  <c r="A385" i="1"/>
  <c r="E385" i="1" s="1"/>
  <c r="A384" i="1"/>
  <c r="E384" i="1" s="1"/>
  <c r="A383" i="1"/>
  <c r="E383" i="1" s="1"/>
  <c r="A382" i="1"/>
  <c r="E382" i="1" s="1"/>
  <c r="A381" i="1"/>
  <c r="E381" i="1" s="1"/>
  <c r="A380" i="1"/>
  <c r="E380" i="1" s="1"/>
  <c r="A379" i="1"/>
  <c r="E379" i="1" s="1"/>
  <c r="A378" i="1"/>
  <c r="E378" i="1" s="1"/>
  <c r="A377" i="1"/>
  <c r="E377" i="1" s="1"/>
  <c r="A376" i="1"/>
  <c r="E376" i="1" s="1"/>
  <c r="A375" i="1"/>
  <c r="E375" i="1" s="1"/>
  <c r="A374" i="1"/>
  <c r="E374" i="1" s="1"/>
  <c r="A373" i="1"/>
  <c r="E373" i="1" s="1"/>
  <c r="A372" i="1"/>
  <c r="E372" i="1" s="1"/>
  <c r="A371" i="1"/>
  <c r="E371" i="1" s="1"/>
  <c r="A370" i="1"/>
  <c r="E370" i="1" s="1"/>
  <c r="A369" i="1"/>
  <c r="E369" i="1" s="1"/>
  <c r="A368" i="1"/>
  <c r="E368" i="1" s="1"/>
  <c r="A367" i="1"/>
  <c r="E367" i="1" s="1"/>
  <c r="A366" i="1"/>
  <c r="E366" i="1" s="1"/>
  <c r="A365" i="1"/>
  <c r="E365" i="1" s="1"/>
  <c r="A364" i="1"/>
  <c r="E364" i="1" s="1"/>
  <c r="A363" i="1"/>
  <c r="E363" i="1" s="1"/>
  <c r="A362" i="1"/>
  <c r="E362" i="1" s="1"/>
  <c r="A361" i="1"/>
  <c r="E361" i="1" s="1"/>
  <c r="A360" i="1"/>
  <c r="E360" i="1" s="1"/>
  <c r="A359" i="1"/>
  <c r="E359" i="1" s="1"/>
  <c r="A358" i="1"/>
  <c r="E358" i="1" s="1"/>
  <c r="A357" i="1"/>
  <c r="E357" i="1" s="1"/>
  <c r="A356" i="1"/>
  <c r="E356" i="1" s="1"/>
  <c r="A355" i="1"/>
  <c r="E355" i="1" s="1"/>
  <c r="A354" i="1"/>
  <c r="E354" i="1" s="1"/>
  <c r="A353" i="1"/>
  <c r="E353" i="1" s="1"/>
  <c r="A352" i="1"/>
  <c r="E352" i="1" s="1"/>
  <c r="A351" i="1"/>
  <c r="E351" i="1" s="1"/>
  <c r="A350" i="1"/>
  <c r="E350" i="1" s="1"/>
  <c r="A349" i="1"/>
  <c r="E349" i="1" s="1"/>
  <c r="A348" i="1"/>
  <c r="E348" i="1" s="1"/>
  <c r="A347" i="1"/>
  <c r="E347" i="1" s="1"/>
  <c r="A346" i="1"/>
  <c r="E346" i="1" s="1"/>
  <c r="A345" i="1"/>
  <c r="E345" i="1" s="1"/>
  <c r="A344" i="1"/>
  <c r="E344" i="1" s="1"/>
  <c r="A343" i="1"/>
  <c r="E343" i="1" s="1"/>
  <c r="A342" i="1"/>
  <c r="E342" i="1" s="1"/>
  <c r="A341" i="1"/>
  <c r="E341" i="1" s="1"/>
  <c r="A340" i="1"/>
  <c r="E340" i="1" s="1"/>
  <c r="A339" i="1"/>
  <c r="E339" i="1" s="1"/>
  <c r="A338" i="1"/>
  <c r="E338" i="1" s="1"/>
  <c r="A337" i="1"/>
  <c r="E337" i="1" s="1"/>
  <c r="A336" i="1"/>
  <c r="E336" i="1" s="1"/>
  <c r="A335" i="1"/>
  <c r="E335" i="1" s="1"/>
  <c r="A334" i="1"/>
  <c r="E334" i="1" s="1"/>
  <c r="A333" i="1"/>
  <c r="E333" i="1" s="1"/>
  <c r="A332" i="1"/>
  <c r="E332" i="1" s="1"/>
  <c r="A331" i="1"/>
  <c r="E331" i="1" s="1"/>
  <c r="A330" i="1"/>
  <c r="E330" i="1" s="1"/>
  <c r="A329" i="1"/>
  <c r="E329" i="1" s="1"/>
  <c r="A328" i="1"/>
  <c r="E328" i="1" s="1"/>
  <c r="A327" i="1"/>
  <c r="E327" i="1" s="1"/>
  <c r="A326" i="1"/>
  <c r="E326" i="1" s="1"/>
  <c r="A325" i="1"/>
  <c r="E325" i="1" s="1"/>
  <c r="A324" i="1"/>
  <c r="E324" i="1" s="1"/>
  <c r="A323" i="1"/>
  <c r="E323" i="1" s="1"/>
  <c r="A322" i="1"/>
  <c r="E322" i="1" s="1"/>
  <c r="A321" i="1"/>
  <c r="E321" i="1" s="1"/>
  <c r="A320" i="1"/>
  <c r="E320" i="1" s="1"/>
  <c r="A319" i="1"/>
  <c r="E319" i="1" s="1"/>
  <c r="A318" i="1"/>
  <c r="E318" i="1" s="1"/>
  <c r="A317" i="1"/>
  <c r="E317" i="1" s="1"/>
  <c r="A316" i="1"/>
  <c r="E316" i="1" s="1"/>
  <c r="A315" i="1"/>
  <c r="E315" i="1" s="1"/>
  <c r="A314" i="1"/>
  <c r="E314" i="1" s="1"/>
  <c r="A313" i="1"/>
  <c r="E313" i="1" s="1"/>
  <c r="A312" i="1"/>
  <c r="E312" i="1" s="1"/>
  <c r="A311" i="1"/>
  <c r="E311" i="1" s="1"/>
  <c r="A310" i="1"/>
  <c r="E310" i="1" s="1"/>
  <c r="A309" i="1"/>
  <c r="E309" i="1" s="1"/>
  <c r="A308" i="1"/>
  <c r="E308" i="1" s="1"/>
  <c r="A307" i="1"/>
  <c r="E307" i="1" s="1"/>
  <c r="A306" i="1"/>
  <c r="E306" i="1" s="1"/>
  <c r="A305" i="1"/>
  <c r="E305" i="1" s="1"/>
  <c r="A304" i="1"/>
  <c r="E304" i="1" s="1"/>
  <c r="A303" i="1"/>
  <c r="E303" i="1" s="1"/>
  <c r="A302" i="1"/>
  <c r="E302" i="1" s="1"/>
  <c r="A301" i="1"/>
  <c r="E301" i="1" s="1"/>
  <c r="A300" i="1"/>
  <c r="E300" i="1" s="1"/>
  <c r="A299" i="1"/>
  <c r="E299" i="1" s="1"/>
  <c r="A298" i="1"/>
  <c r="E298" i="1" s="1"/>
  <c r="A297" i="1"/>
  <c r="E297" i="1" s="1"/>
  <c r="A296" i="1"/>
  <c r="E296" i="1" s="1"/>
  <c r="A295" i="1"/>
  <c r="E295" i="1" s="1"/>
  <c r="A294" i="1"/>
  <c r="E294" i="1" s="1"/>
  <c r="A293" i="1"/>
  <c r="E293" i="1" s="1"/>
  <c r="A292" i="1"/>
  <c r="E292" i="1" s="1"/>
  <c r="A291" i="1"/>
  <c r="E291" i="1" s="1"/>
  <c r="A290" i="1"/>
  <c r="E290" i="1" s="1"/>
  <c r="A289" i="1"/>
  <c r="E289" i="1" s="1"/>
  <c r="A288" i="1"/>
  <c r="E288" i="1" s="1"/>
  <c r="A287" i="1"/>
  <c r="E287" i="1" s="1"/>
  <c r="A286" i="1"/>
  <c r="E286" i="1" s="1"/>
  <c r="A285" i="1"/>
  <c r="E285" i="1" s="1"/>
  <c r="A284" i="1"/>
  <c r="E284" i="1" s="1"/>
  <c r="A283" i="1"/>
  <c r="E283" i="1" s="1"/>
  <c r="A282" i="1"/>
  <c r="E282" i="1" s="1"/>
  <c r="A281" i="1"/>
  <c r="E281" i="1" s="1"/>
  <c r="A280" i="1"/>
  <c r="E280" i="1" s="1"/>
  <c r="A279" i="1"/>
  <c r="E279" i="1" s="1"/>
  <c r="A278" i="1"/>
  <c r="E278" i="1" s="1"/>
  <c r="A277" i="1"/>
  <c r="E277" i="1" s="1"/>
  <c r="A276" i="1"/>
  <c r="E276" i="1" s="1"/>
  <c r="A275" i="1"/>
  <c r="E275" i="1" s="1"/>
  <c r="A274" i="1"/>
  <c r="E274" i="1" s="1"/>
  <c r="A273" i="1"/>
  <c r="E273" i="1" s="1"/>
  <c r="A272" i="1"/>
  <c r="E272" i="1" s="1"/>
  <c r="A271" i="1"/>
  <c r="E271" i="1" s="1"/>
  <c r="A270" i="1"/>
  <c r="E270" i="1" s="1"/>
  <c r="A269" i="1"/>
  <c r="E269" i="1" s="1"/>
  <c r="A268" i="1"/>
  <c r="E268" i="1" s="1"/>
  <c r="A267" i="1"/>
  <c r="E267" i="1" s="1"/>
  <c r="A266" i="1"/>
  <c r="E266" i="1" s="1"/>
  <c r="A265" i="1"/>
  <c r="E265" i="1" s="1"/>
  <c r="A264" i="1"/>
  <c r="E264" i="1" s="1"/>
  <c r="A263" i="1"/>
  <c r="E263" i="1" s="1"/>
  <c r="A262" i="1"/>
  <c r="E262" i="1" s="1"/>
  <c r="A261" i="1"/>
  <c r="E261" i="1" s="1"/>
  <c r="A260" i="1"/>
  <c r="E260" i="1" s="1"/>
  <c r="A259" i="1"/>
  <c r="E259" i="1" s="1"/>
  <c r="A258" i="1"/>
  <c r="E258" i="1" s="1"/>
  <c r="A257" i="1"/>
  <c r="E257" i="1" s="1"/>
  <c r="A256" i="1"/>
  <c r="E256" i="1" s="1"/>
  <c r="A255" i="1"/>
  <c r="E255" i="1" s="1"/>
  <c r="A254" i="1"/>
  <c r="E254" i="1" s="1"/>
  <c r="A253" i="1"/>
  <c r="E253" i="1" s="1"/>
  <c r="A252" i="1"/>
  <c r="E252" i="1" s="1"/>
  <c r="A251" i="1"/>
  <c r="E251" i="1" s="1"/>
  <c r="A250" i="1"/>
  <c r="E250" i="1" s="1"/>
  <c r="A249" i="1"/>
  <c r="E249" i="1" s="1"/>
  <c r="A248" i="1"/>
  <c r="E248" i="1" s="1"/>
  <c r="A247" i="1"/>
  <c r="E247" i="1" s="1"/>
  <c r="A246" i="1"/>
  <c r="E246" i="1" s="1"/>
  <c r="A245" i="1"/>
  <c r="E245" i="1" s="1"/>
  <c r="A244" i="1"/>
  <c r="E244" i="1" s="1"/>
  <c r="A243" i="1"/>
  <c r="E243" i="1" s="1"/>
  <c r="A242" i="1"/>
  <c r="E242" i="1" s="1"/>
  <c r="A241" i="1"/>
  <c r="E241" i="1" s="1"/>
  <c r="A240" i="1"/>
  <c r="E240" i="1" s="1"/>
  <c r="A239" i="1"/>
  <c r="E239" i="1" s="1"/>
  <c r="A238" i="1"/>
  <c r="E238" i="1" s="1"/>
  <c r="A237" i="1"/>
  <c r="E237" i="1" s="1"/>
  <c r="A236" i="1"/>
  <c r="E236" i="1" s="1"/>
  <c r="A235" i="1"/>
  <c r="E235" i="1" s="1"/>
  <c r="A234" i="1"/>
  <c r="E234" i="1" s="1"/>
  <c r="A233" i="1"/>
  <c r="E233" i="1" s="1"/>
  <c r="A232" i="1"/>
  <c r="E232" i="1" s="1"/>
  <c r="A231" i="1"/>
  <c r="E231" i="1" s="1"/>
  <c r="A230" i="1"/>
  <c r="E230" i="1" s="1"/>
  <c r="A229" i="1"/>
  <c r="E229" i="1" s="1"/>
  <c r="A228" i="1"/>
  <c r="E228" i="1" s="1"/>
  <c r="A227" i="1"/>
  <c r="E227" i="1" s="1"/>
  <c r="A226" i="1"/>
  <c r="E226" i="1" s="1"/>
  <c r="A225" i="1"/>
  <c r="E225" i="1" s="1"/>
  <c r="A224" i="1"/>
  <c r="E224" i="1" s="1"/>
  <c r="A223" i="1"/>
  <c r="E223" i="1" s="1"/>
  <c r="A222" i="1"/>
  <c r="E222" i="1" s="1"/>
  <c r="A221" i="1"/>
  <c r="E221" i="1" s="1"/>
  <c r="A220" i="1"/>
  <c r="E220" i="1" s="1"/>
  <c r="A219" i="1"/>
  <c r="E219" i="1" s="1"/>
  <c r="A218" i="1"/>
  <c r="E218" i="1" s="1"/>
  <c r="A217" i="1"/>
  <c r="E217" i="1" s="1"/>
  <c r="A216" i="1"/>
  <c r="E216" i="1" s="1"/>
  <c r="A215" i="1"/>
  <c r="E215" i="1" s="1"/>
  <c r="A214" i="1"/>
  <c r="E214" i="1" s="1"/>
  <c r="A213" i="1"/>
  <c r="E213" i="1" s="1"/>
  <c r="A212" i="1"/>
  <c r="E212" i="1" s="1"/>
  <c r="A211" i="1"/>
  <c r="E211" i="1" s="1"/>
  <c r="A210" i="1"/>
  <c r="E210" i="1" s="1"/>
  <c r="A209" i="1"/>
  <c r="E209" i="1" s="1"/>
  <c r="A208" i="1"/>
  <c r="E208" i="1" s="1"/>
  <c r="A207" i="1"/>
  <c r="E207" i="1" s="1"/>
  <c r="A206" i="1"/>
  <c r="E206" i="1" s="1"/>
  <c r="A205" i="1"/>
  <c r="E205" i="1" s="1"/>
  <c r="A204" i="1"/>
  <c r="E204" i="1" s="1"/>
  <c r="A203" i="1"/>
  <c r="E203" i="1" s="1"/>
  <c r="A202" i="1"/>
  <c r="E202" i="1" s="1"/>
  <c r="A201" i="1"/>
  <c r="E201" i="1" s="1"/>
  <c r="A200" i="1"/>
  <c r="E200" i="1" s="1"/>
  <c r="A199" i="1"/>
  <c r="E199" i="1" s="1"/>
  <c r="A198" i="1"/>
  <c r="E198" i="1" s="1"/>
  <c r="A197" i="1"/>
  <c r="E197" i="1" s="1"/>
  <c r="A196" i="1"/>
  <c r="E196" i="1" s="1"/>
  <c r="A195" i="1"/>
  <c r="E195" i="1" s="1"/>
  <c r="A194" i="1"/>
  <c r="E194" i="1" s="1"/>
  <c r="A193" i="1"/>
  <c r="E193" i="1" s="1"/>
  <c r="A192" i="1"/>
  <c r="E192" i="1" s="1"/>
  <c r="A191" i="1"/>
  <c r="E191" i="1" s="1"/>
  <c r="A190" i="1"/>
  <c r="E190" i="1" s="1"/>
  <c r="A189" i="1"/>
  <c r="E189" i="1" s="1"/>
  <c r="A188" i="1"/>
  <c r="E188" i="1" s="1"/>
  <c r="A187" i="1"/>
  <c r="E187" i="1" s="1"/>
  <c r="A186" i="1"/>
  <c r="E186" i="1" s="1"/>
  <c r="A185" i="1"/>
  <c r="E185" i="1" s="1"/>
  <c r="A184" i="1"/>
  <c r="E184" i="1" s="1"/>
  <c r="A183" i="1"/>
  <c r="E183" i="1" s="1"/>
  <c r="A182" i="1"/>
  <c r="E182" i="1" s="1"/>
  <c r="A181" i="1"/>
  <c r="E181" i="1" s="1"/>
  <c r="A180" i="1"/>
  <c r="E180" i="1" s="1"/>
  <c r="A179" i="1"/>
  <c r="E179" i="1" s="1"/>
  <c r="A178" i="1"/>
  <c r="E178" i="1" s="1"/>
  <c r="A177" i="1"/>
  <c r="E177" i="1" s="1"/>
  <c r="A176" i="1"/>
  <c r="E176" i="1" s="1"/>
  <c r="A175" i="1"/>
  <c r="E175" i="1" s="1"/>
  <c r="A174" i="1"/>
  <c r="E174" i="1" s="1"/>
  <c r="A173" i="1"/>
  <c r="E173" i="1" s="1"/>
  <c r="A172" i="1"/>
  <c r="E172" i="1" s="1"/>
  <c r="A171" i="1"/>
  <c r="E171" i="1" s="1"/>
  <c r="A170" i="1"/>
  <c r="E170" i="1" s="1"/>
  <c r="A169" i="1"/>
  <c r="E169" i="1" s="1"/>
  <c r="A168" i="1"/>
  <c r="E168" i="1" s="1"/>
  <c r="A167" i="1"/>
  <c r="E167" i="1" s="1"/>
  <c r="A166" i="1"/>
  <c r="E166" i="1" s="1"/>
  <c r="A165" i="1"/>
  <c r="E165" i="1" s="1"/>
  <c r="A164" i="1"/>
  <c r="E164" i="1" s="1"/>
  <c r="A163" i="1"/>
  <c r="E163" i="1" s="1"/>
  <c r="A162" i="1"/>
  <c r="E162" i="1" s="1"/>
  <c r="A161" i="1"/>
  <c r="E161" i="1" s="1"/>
  <c r="A160" i="1"/>
  <c r="E160" i="1" s="1"/>
  <c r="A159" i="1"/>
  <c r="E159" i="1" s="1"/>
  <c r="A158" i="1"/>
  <c r="E158" i="1" s="1"/>
  <c r="A157" i="1"/>
  <c r="E157" i="1" s="1"/>
  <c r="A156" i="1"/>
  <c r="E156" i="1" s="1"/>
  <c r="A155" i="1"/>
  <c r="E155" i="1" s="1"/>
  <c r="A154" i="1"/>
  <c r="E154" i="1" s="1"/>
  <c r="A153" i="1"/>
  <c r="E153" i="1" s="1"/>
  <c r="A152" i="1"/>
  <c r="E152" i="1" s="1"/>
  <c r="A151" i="1"/>
  <c r="E151" i="1" s="1"/>
  <c r="A150" i="1"/>
  <c r="E150" i="1" s="1"/>
  <c r="A149" i="1"/>
  <c r="E149" i="1" s="1"/>
  <c r="A148" i="1"/>
  <c r="E148" i="1" s="1"/>
  <c r="A147" i="1"/>
  <c r="E147" i="1" s="1"/>
  <c r="A146" i="1"/>
  <c r="E146" i="1" s="1"/>
  <c r="A145" i="1"/>
  <c r="E145" i="1" s="1"/>
  <c r="A144" i="1"/>
  <c r="E144" i="1" s="1"/>
  <c r="A143" i="1"/>
  <c r="E143" i="1" s="1"/>
  <c r="A142" i="1"/>
  <c r="E142" i="1" s="1"/>
  <c r="A141" i="1"/>
  <c r="E141" i="1" s="1"/>
  <c r="A140" i="1"/>
  <c r="E140" i="1" s="1"/>
  <c r="A139" i="1"/>
  <c r="E139" i="1" s="1"/>
  <c r="A138" i="1"/>
  <c r="E138" i="1" s="1"/>
  <c r="A137" i="1"/>
  <c r="E137" i="1" s="1"/>
  <c r="A136" i="1"/>
  <c r="E136" i="1" s="1"/>
  <c r="A135" i="1"/>
  <c r="E135" i="1" s="1"/>
  <c r="A134" i="1"/>
  <c r="E134" i="1" s="1"/>
  <c r="A133" i="1"/>
  <c r="E133" i="1" s="1"/>
  <c r="A132" i="1"/>
  <c r="E132" i="1" s="1"/>
  <c r="A131" i="1"/>
  <c r="E131" i="1" s="1"/>
  <c r="A130" i="1"/>
  <c r="E130" i="1" s="1"/>
  <c r="A129" i="1"/>
  <c r="E129" i="1" s="1"/>
  <c r="A128" i="1"/>
  <c r="E128" i="1" s="1"/>
  <c r="A127" i="1"/>
  <c r="E127" i="1" s="1"/>
  <c r="A126" i="1"/>
  <c r="E126" i="1" s="1"/>
  <c r="A125" i="1"/>
  <c r="E125" i="1" s="1"/>
  <c r="A124" i="1"/>
  <c r="E124" i="1" s="1"/>
  <c r="A123" i="1"/>
  <c r="E123" i="1" s="1"/>
  <c r="A122" i="1"/>
  <c r="E122" i="1" s="1"/>
  <c r="A121" i="1"/>
  <c r="E121" i="1" s="1"/>
  <c r="A120" i="1"/>
  <c r="E120" i="1" s="1"/>
  <c r="A119" i="1"/>
  <c r="E119" i="1" s="1"/>
  <c r="A118" i="1"/>
  <c r="E118" i="1" s="1"/>
  <c r="A117" i="1"/>
  <c r="E117" i="1" s="1"/>
  <c r="A116" i="1"/>
  <c r="E116" i="1" s="1"/>
  <c r="A115" i="1"/>
  <c r="E115" i="1" s="1"/>
  <c r="A114" i="1"/>
  <c r="E114" i="1" s="1"/>
  <c r="A113" i="1"/>
  <c r="E113" i="1" s="1"/>
  <c r="A112" i="1"/>
  <c r="E112" i="1" s="1"/>
  <c r="A111" i="1"/>
  <c r="E111" i="1" s="1"/>
  <c r="A110" i="1"/>
  <c r="E110" i="1" s="1"/>
  <c r="A109" i="1"/>
  <c r="E109" i="1" s="1"/>
  <c r="A108" i="1"/>
  <c r="E108" i="1" s="1"/>
  <c r="A107" i="1"/>
  <c r="E107" i="1" s="1"/>
  <c r="A106" i="1"/>
  <c r="E106" i="1" s="1"/>
  <c r="A105" i="1"/>
  <c r="E105" i="1" s="1"/>
  <c r="A104" i="1"/>
  <c r="E104" i="1" s="1"/>
  <c r="A103" i="1"/>
  <c r="E103" i="1" s="1"/>
  <c r="A102" i="1"/>
  <c r="E102" i="1" s="1"/>
  <c r="A101" i="1"/>
  <c r="E101" i="1" s="1"/>
  <c r="A100" i="1"/>
  <c r="E100" i="1" s="1"/>
  <c r="A99" i="1"/>
  <c r="E99" i="1" s="1"/>
  <c r="A98" i="1"/>
  <c r="E98" i="1" s="1"/>
  <c r="A97" i="1"/>
  <c r="E97" i="1" s="1"/>
  <c r="A96" i="1"/>
  <c r="E96" i="1" s="1"/>
  <c r="A95" i="1"/>
  <c r="E95" i="1" s="1"/>
  <c r="A94" i="1"/>
  <c r="E94" i="1" s="1"/>
  <c r="A93" i="1"/>
  <c r="E93" i="1" s="1"/>
  <c r="A92" i="1"/>
  <c r="E92" i="1" s="1"/>
  <c r="A91" i="1"/>
  <c r="E91" i="1" s="1"/>
  <c r="A90" i="1"/>
  <c r="E90" i="1" s="1"/>
  <c r="A89" i="1"/>
  <c r="E89" i="1" s="1"/>
  <c r="A88" i="1"/>
  <c r="E88" i="1" s="1"/>
  <c r="A87" i="1"/>
  <c r="E87" i="1" s="1"/>
  <c r="A86" i="1"/>
  <c r="E86" i="1" s="1"/>
  <c r="A85" i="1"/>
  <c r="E85" i="1" s="1"/>
  <c r="A84" i="1"/>
  <c r="E84" i="1" s="1"/>
  <c r="A83" i="1"/>
  <c r="E83" i="1" s="1"/>
  <c r="A82" i="1"/>
  <c r="E82" i="1" s="1"/>
  <c r="A81" i="1"/>
  <c r="E81" i="1" s="1"/>
  <c r="A80" i="1"/>
  <c r="E80" i="1" s="1"/>
  <c r="A79" i="1"/>
  <c r="E79" i="1" s="1"/>
  <c r="A78" i="1"/>
  <c r="E78" i="1" s="1"/>
  <c r="A77" i="1"/>
  <c r="E77" i="1" s="1"/>
  <c r="A76" i="1"/>
  <c r="E76" i="1" s="1"/>
  <c r="A75" i="1"/>
  <c r="E75" i="1" s="1"/>
  <c r="A74" i="1"/>
  <c r="E74" i="1" s="1"/>
  <c r="A73" i="1"/>
  <c r="E73" i="1" s="1"/>
  <c r="A72" i="1"/>
  <c r="E72" i="1" s="1"/>
  <c r="A71" i="1"/>
  <c r="E71" i="1" s="1"/>
  <c r="A70" i="1"/>
  <c r="E70" i="1" s="1"/>
  <c r="A69" i="1"/>
  <c r="E69" i="1" s="1"/>
  <c r="A68" i="1"/>
  <c r="E68" i="1" s="1"/>
  <c r="A67" i="1"/>
  <c r="E67" i="1" s="1"/>
  <c r="A66" i="1"/>
  <c r="E66" i="1" s="1"/>
  <c r="A65" i="1"/>
  <c r="E65" i="1" s="1"/>
  <c r="A64" i="1"/>
  <c r="E64" i="1" s="1"/>
  <c r="A63" i="1"/>
  <c r="E63" i="1" s="1"/>
  <c r="A62" i="1"/>
  <c r="E62" i="1" s="1"/>
  <c r="A61" i="1"/>
  <c r="E61" i="1" s="1"/>
  <c r="A60" i="1"/>
  <c r="E60" i="1" s="1"/>
  <c r="A59" i="1"/>
  <c r="E59" i="1" s="1"/>
  <c r="A58" i="1"/>
  <c r="E58" i="1" s="1"/>
  <c r="A57" i="1"/>
  <c r="E57" i="1" s="1"/>
  <c r="A56" i="1"/>
  <c r="E56" i="1" s="1"/>
  <c r="A55" i="1"/>
  <c r="E55" i="1" s="1"/>
  <c r="A54" i="1"/>
  <c r="E54" i="1" s="1"/>
  <c r="A53" i="1"/>
  <c r="E53" i="1" s="1"/>
  <c r="A52" i="1"/>
  <c r="E52" i="1" s="1"/>
  <c r="A51" i="1"/>
  <c r="E51" i="1" s="1"/>
  <c r="A50" i="1"/>
  <c r="E50" i="1" s="1"/>
  <c r="A49" i="1"/>
  <c r="E49" i="1" s="1"/>
  <c r="A48" i="1"/>
  <c r="E48" i="1" s="1"/>
  <c r="A47" i="1"/>
  <c r="E47" i="1" s="1"/>
  <c r="A46" i="1"/>
  <c r="E46" i="1" s="1"/>
  <c r="A45" i="1"/>
  <c r="E45" i="1" s="1"/>
  <c r="A44" i="1"/>
  <c r="E44" i="1" s="1"/>
  <c r="A43" i="1"/>
  <c r="E43" i="1" s="1"/>
  <c r="A42" i="1"/>
  <c r="E42" i="1" s="1"/>
  <c r="A41" i="1"/>
  <c r="E41" i="1" s="1"/>
  <c r="A40" i="1"/>
  <c r="E40" i="1" s="1"/>
  <c r="A39" i="1"/>
  <c r="E39" i="1" s="1"/>
  <c r="A38" i="1"/>
  <c r="E38" i="1" s="1"/>
  <c r="A37" i="1"/>
  <c r="E37" i="1" s="1"/>
  <c r="A36" i="1"/>
  <c r="E36" i="1" s="1"/>
  <c r="A35" i="1"/>
  <c r="E35" i="1" s="1"/>
  <c r="A34" i="1"/>
  <c r="E34" i="1" s="1"/>
  <c r="A33" i="1"/>
  <c r="E33" i="1" s="1"/>
  <c r="A32" i="1"/>
  <c r="E32" i="1" s="1"/>
  <c r="A31" i="1"/>
  <c r="E31" i="1" s="1"/>
  <c r="A30" i="1"/>
  <c r="E30" i="1" s="1"/>
  <c r="A29" i="1"/>
  <c r="E29" i="1" s="1"/>
  <c r="A28" i="1"/>
  <c r="E28" i="1" s="1"/>
  <c r="A27" i="1"/>
  <c r="E27" i="1" s="1"/>
  <c r="A26" i="1"/>
  <c r="E26" i="1" s="1"/>
  <c r="A25" i="1"/>
  <c r="E25" i="1" s="1"/>
  <c r="A24" i="1"/>
  <c r="E24" i="1" s="1"/>
  <c r="A23" i="1"/>
  <c r="E23" i="1" s="1"/>
  <c r="A22" i="1"/>
  <c r="E22" i="1" s="1"/>
  <c r="A21" i="1"/>
  <c r="E21" i="1" s="1"/>
  <c r="A20" i="1"/>
  <c r="E20" i="1" s="1"/>
  <c r="A19" i="1"/>
  <c r="E19" i="1" s="1"/>
  <c r="A18" i="1"/>
  <c r="E18" i="1" s="1"/>
  <c r="A17" i="1"/>
  <c r="E17" i="1" s="1"/>
  <c r="A16" i="1"/>
  <c r="E16" i="1" s="1"/>
  <c r="A15" i="1"/>
  <c r="E15" i="1" s="1"/>
  <c r="A14" i="1"/>
  <c r="E14" i="1" s="1"/>
  <c r="A13" i="1"/>
  <c r="E13" i="1" s="1"/>
  <c r="A12" i="1"/>
  <c r="E12" i="1" s="1"/>
  <c r="A11" i="1"/>
  <c r="E11" i="1" s="1"/>
  <c r="A10" i="1"/>
  <c r="E10" i="1" s="1"/>
  <c r="A9" i="1"/>
  <c r="E9" i="1" s="1"/>
  <c r="A8" i="1"/>
  <c r="E8" i="1" s="1"/>
  <c r="A7" i="1"/>
  <c r="E7" i="1" s="1"/>
  <c r="A6" i="1"/>
  <c r="E6" i="1" s="1"/>
  <c r="A5" i="1"/>
  <c r="E5" i="1" s="1"/>
  <c r="A4" i="1"/>
  <c r="E4" i="1" s="1"/>
  <c r="A3" i="1"/>
  <c r="E3" i="1" s="1"/>
  <c r="BA4" i="1"/>
  <c r="BA5" i="1"/>
  <c r="BA6" i="1"/>
  <c r="BA7" i="1"/>
  <c r="BA8" i="1"/>
  <c r="BA9" i="1"/>
  <c r="BA10" i="1"/>
  <c r="BA11" i="1"/>
  <c r="BA12" i="1"/>
  <c r="BA13" i="1"/>
  <c r="BA14" i="1"/>
  <c r="BA15" i="1"/>
  <c r="BA16" i="1"/>
  <c r="BA17" i="1"/>
  <c r="BA18" i="1"/>
  <c r="BA19" i="1"/>
  <c r="BA20" i="1"/>
  <c r="BA21" i="1"/>
  <c r="BA22" i="1"/>
  <c r="BA23" i="1"/>
  <c r="BA24" i="1"/>
  <c r="BA25" i="1"/>
  <c r="BA26" i="1"/>
  <c r="BA27" i="1"/>
  <c r="BA28" i="1"/>
  <c r="BA29" i="1"/>
  <c r="BA30" i="1"/>
  <c r="BA31" i="1"/>
  <c r="BA32" i="1"/>
  <c r="BA33" i="1"/>
  <c r="BA34" i="1"/>
  <c r="BA35" i="1"/>
  <c r="BA36" i="1"/>
  <c r="BA37" i="1"/>
  <c r="BA38" i="1"/>
  <c r="BA39" i="1"/>
  <c r="BA40" i="1"/>
  <c r="BA41" i="1"/>
  <c r="BA42" i="1"/>
  <c r="BA43" i="1"/>
  <c r="BA44" i="1"/>
  <c r="BA45" i="1"/>
  <c r="BA46" i="1"/>
  <c r="BA47" i="1"/>
  <c r="BA48" i="1"/>
  <c r="BA49" i="1"/>
  <c r="BA50" i="1"/>
  <c r="BA51" i="1"/>
  <c r="BA52" i="1"/>
  <c r="BA53" i="1"/>
  <c r="BA54" i="1"/>
  <c r="BA55" i="1"/>
  <c r="BA56" i="1"/>
  <c r="BA57" i="1"/>
  <c r="BA58" i="1"/>
  <c r="BA59" i="1"/>
  <c r="BA60" i="1"/>
  <c r="BA61" i="1"/>
  <c r="BA62" i="1"/>
  <c r="BA63" i="1"/>
  <c r="BA64" i="1"/>
  <c r="BA65" i="1"/>
  <c r="BA66" i="1"/>
  <c r="BA67" i="1"/>
  <c r="BA68" i="1"/>
  <c r="BA69" i="1"/>
  <c r="BA70" i="1"/>
  <c r="BA71" i="1"/>
  <c r="BA72" i="1"/>
  <c r="BA73" i="1"/>
  <c r="BA74" i="1"/>
  <c r="BA75" i="1"/>
  <c r="BA76" i="1"/>
  <c r="BA77" i="1"/>
  <c r="BA78" i="1"/>
  <c r="BA79" i="1"/>
  <c r="BA80" i="1"/>
  <c r="BA81" i="1"/>
  <c r="BA82" i="1"/>
  <c r="BA83" i="1"/>
  <c r="BA84" i="1"/>
  <c r="BA85" i="1"/>
  <c r="BA86" i="1"/>
  <c r="BA87" i="1"/>
  <c r="BA88" i="1"/>
  <c r="BA89" i="1"/>
  <c r="BA90" i="1"/>
  <c r="BA91" i="1"/>
  <c r="BA92" i="1"/>
  <c r="BA93" i="1"/>
  <c r="BA94" i="1"/>
  <c r="BA95" i="1"/>
  <c r="BA96" i="1"/>
  <c r="BA97" i="1"/>
  <c r="BA98" i="1"/>
  <c r="BA99" i="1"/>
  <c r="BA100" i="1"/>
  <c r="BA101" i="1"/>
  <c r="BA102" i="1"/>
  <c r="BA103" i="1"/>
  <c r="BA104" i="1"/>
  <c r="BA105" i="1"/>
  <c r="BA106" i="1"/>
  <c r="BA107" i="1"/>
  <c r="BA108" i="1"/>
  <c r="BA109" i="1"/>
  <c r="BA110" i="1"/>
  <c r="BA111" i="1"/>
  <c r="BA112" i="1"/>
  <c r="BA113" i="1"/>
  <c r="BA114" i="1"/>
  <c r="BA115" i="1"/>
  <c r="BA116" i="1"/>
  <c r="BA117" i="1"/>
  <c r="BA118" i="1"/>
  <c r="BA119" i="1"/>
  <c r="BA120" i="1"/>
  <c r="BA121" i="1"/>
  <c r="BA122" i="1"/>
  <c r="BA123" i="1"/>
  <c r="BA124" i="1"/>
  <c r="BA125" i="1"/>
  <c r="BA126" i="1"/>
  <c r="BA127" i="1"/>
  <c r="BA128" i="1"/>
  <c r="BA129" i="1"/>
  <c r="BA130" i="1"/>
  <c r="BA131" i="1"/>
  <c r="BA132" i="1"/>
  <c r="BA133" i="1"/>
  <c r="BA134" i="1"/>
  <c r="BA135" i="1"/>
  <c r="BA136" i="1"/>
  <c r="BA137" i="1"/>
  <c r="BA138" i="1"/>
  <c r="BA139" i="1"/>
  <c r="BA140" i="1"/>
  <c r="BA141" i="1"/>
  <c r="BA142" i="1"/>
  <c r="BA143" i="1"/>
  <c r="BA144" i="1"/>
  <c r="BA145" i="1"/>
  <c r="BA146" i="1"/>
  <c r="BA147" i="1"/>
  <c r="BA148" i="1"/>
  <c r="BA149" i="1"/>
  <c r="BA150" i="1"/>
  <c r="BA151" i="1"/>
  <c r="BA152" i="1"/>
  <c r="BA153" i="1"/>
  <c r="BA154" i="1"/>
  <c r="BA155" i="1"/>
  <c r="BA156" i="1"/>
  <c r="BA157" i="1"/>
  <c r="BA158" i="1"/>
  <c r="BA159" i="1"/>
  <c r="BA160" i="1"/>
  <c r="BA161" i="1"/>
  <c r="BA162" i="1"/>
  <c r="BA163" i="1"/>
  <c r="BA164" i="1"/>
  <c r="BA165" i="1"/>
  <c r="BA166" i="1"/>
  <c r="BA167" i="1"/>
  <c r="BA168" i="1"/>
  <c r="BA169" i="1"/>
  <c r="BA170" i="1"/>
  <c r="BA171" i="1"/>
  <c r="BA172" i="1"/>
  <c r="BA173" i="1"/>
  <c r="BA174" i="1"/>
  <c r="BA175" i="1"/>
  <c r="BA176" i="1"/>
  <c r="BA177" i="1"/>
  <c r="BA178" i="1"/>
  <c r="BA179" i="1"/>
  <c r="BA180" i="1"/>
  <c r="BA181" i="1"/>
  <c r="BA182" i="1"/>
  <c r="BA183" i="1"/>
  <c r="BA184" i="1"/>
  <c r="BA185" i="1"/>
  <c r="BA186" i="1"/>
  <c r="BA187" i="1"/>
  <c r="BA188" i="1"/>
  <c r="BA189" i="1"/>
  <c r="BA190" i="1"/>
  <c r="BA191" i="1"/>
  <c r="BA192" i="1"/>
  <c r="BA193" i="1"/>
  <c r="BA194" i="1"/>
  <c r="BA195" i="1"/>
  <c r="BA196" i="1"/>
  <c r="BA197" i="1"/>
  <c r="BA198" i="1"/>
  <c r="BA199" i="1"/>
  <c r="BA200" i="1"/>
  <c r="BA201" i="1"/>
  <c r="BA202" i="1"/>
  <c r="BA203" i="1"/>
  <c r="BA204" i="1"/>
  <c r="BA205" i="1"/>
  <c r="BA206" i="1"/>
  <c r="BA207" i="1"/>
  <c r="BA208" i="1"/>
  <c r="BA209" i="1"/>
  <c r="BA210" i="1"/>
  <c r="BA211" i="1"/>
  <c r="BA212" i="1"/>
  <c r="BA213" i="1"/>
  <c r="BA214" i="1"/>
  <c r="BA215" i="1"/>
  <c r="BA216" i="1"/>
  <c r="BA217" i="1"/>
  <c r="BA218" i="1"/>
  <c r="BA219" i="1"/>
  <c r="BA220" i="1"/>
  <c r="BA221" i="1"/>
  <c r="BA222" i="1"/>
  <c r="BA223" i="1"/>
  <c r="BA224" i="1"/>
  <c r="BA225" i="1"/>
  <c r="BA226" i="1"/>
  <c r="BA227" i="1"/>
  <c r="BA228" i="1"/>
  <c r="BA229" i="1"/>
  <c r="BA230" i="1"/>
  <c r="BA231" i="1"/>
  <c r="BA232" i="1"/>
  <c r="BA233" i="1"/>
  <c r="BA234" i="1"/>
  <c r="BA235" i="1"/>
  <c r="BA236" i="1"/>
  <c r="BA237" i="1"/>
  <c r="BA238" i="1"/>
  <c r="BA239" i="1"/>
  <c r="BA240" i="1"/>
  <c r="BA241" i="1"/>
  <c r="BA242" i="1"/>
  <c r="BA243" i="1"/>
  <c r="BA244" i="1"/>
  <c r="BA245" i="1"/>
  <c r="BA246" i="1"/>
  <c r="BA247" i="1"/>
  <c r="BA248" i="1"/>
  <c r="BA249" i="1"/>
  <c r="BA250" i="1"/>
  <c r="BA251" i="1"/>
  <c r="BA252" i="1"/>
  <c r="BA253" i="1"/>
  <c r="BA254" i="1"/>
  <c r="BA255" i="1"/>
  <c r="BA256" i="1"/>
  <c r="BA257" i="1"/>
  <c r="BA258" i="1"/>
  <c r="BA259" i="1"/>
  <c r="BA260" i="1"/>
  <c r="BA261" i="1"/>
  <c r="BA262" i="1"/>
  <c r="BA263" i="1"/>
  <c r="BA264" i="1"/>
  <c r="BA265" i="1"/>
  <c r="BA266" i="1"/>
  <c r="BA267" i="1"/>
  <c r="BA268" i="1"/>
  <c r="BA269" i="1"/>
  <c r="BA270" i="1"/>
  <c r="BA271" i="1"/>
  <c r="BA272" i="1"/>
  <c r="BA273" i="1"/>
  <c r="BA274" i="1"/>
  <c r="BA275" i="1"/>
  <c r="BA276" i="1"/>
  <c r="BA277" i="1"/>
  <c r="BA278" i="1"/>
  <c r="BA279" i="1"/>
  <c r="BA280" i="1"/>
  <c r="BA281" i="1"/>
  <c r="BA282" i="1"/>
  <c r="BA283" i="1"/>
  <c r="BA284" i="1"/>
  <c r="BA285" i="1"/>
  <c r="BA286" i="1"/>
  <c r="BA287" i="1"/>
  <c r="BA288" i="1"/>
  <c r="BA289" i="1"/>
  <c r="BA290" i="1"/>
  <c r="BA291" i="1"/>
  <c r="BA292" i="1"/>
  <c r="BA293" i="1"/>
  <c r="BA294" i="1"/>
  <c r="BA295" i="1"/>
  <c r="BA296" i="1"/>
  <c r="BA297" i="1"/>
  <c r="BA298" i="1"/>
  <c r="BA299" i="1"/>
  <c r="BA300" i="1"/>
  <c r="BA301" i="1"/>
  <c r="BA302" i="1"/>
  <c r="BA303" i="1"/>
  <c r="BA304" i="1"/>
  <c r="BA305" i="1"/>
  <c r="BA306" i="1"/>
  <c r="BA307" i="1"/>
  <c r="BA308" i="1"/>
  <c r="BA309" i="1"/>
  <c r="BA310" i="1"/>
  <c r="BA311" i="1"/>
  <c r="BA312" i="1"/>
  <c r="BA313" i="1"/>
  <c r="BA314" i="1"/>
  <c r="BA315" i="1"/>
  <c r="BA316" i="1"/>
  <c r="BA317" i="1"/>
  <c r="BA318" i="1"/>
  <c r="BA319" i="1"/>
  <c r="BA320" i="1"/>
  <c r="BA321" i="1"/>
  <c r="BA322" i="1"/>
  <c r="BA323" i="1"/>
  <c r="BA324" i="1"/>
  <c r="BA325" i="1"/>
  <c r="BA326" i="1"/>
  <c r="BA327" i="1"/>
  <c r="BA328" i="1"/>
  <c r="BA329" i="1"/>
  <c r="BA330" i="1"/>
  <c r="BA331" i="1"/>
  <c r="BA332" i="1"/>
  <c r="BA333" i="1"/>
  <c r="BA334" i="1"/>
  <c r="BA335" i="1"/>
  <c r="BA336" i="1"/>
  <c r="BA337" i="1"/>
  <c r="BA338" i="1"/>
  <c r="BA339" i="1"/>
  <c r="BA340" i="1"/>
  <c r="BA341" i="1"/>
  <c r="BA342" i="1"/>
  <c r="BA343" i="1"/>
  <c r="BA344" i="1"/>
  <c r="BA345" i="1"/>
  <c r="BA346" i="1"/>
  <c r="BA347" i="1"/>
  <c r="BA348" i="1"/>
  <c r="BA349" i="1"/>
  <c r="BA350" i="1"/>
  <c r="BA351" i="1"/>
  <c r="BA352" i="1"/>
  <c r="BA353" i="1"/>
  <c r="BA354" i="1"/>
  <c r="BA355" i="1"/>
  <c r="BA356" i="1"/>
  <c r="BA357" i="1"/>
  <c r="BA358" i="1"/>
  <c r="BA359" i="1"/>
  <c r="BA360" i="1"/>
  <c r="BA361" i="1"/>
  <c r="BA362" i="1"/>
  <c r="BA363" i="1"/>
  <c r="BA364" i="1"/>
  <c r="BA365" i="1"/>
  <c r="BA366" i="1"/>
  <c r="BA367" i="1"/>
  <c r="BA368" i="1"/>
  <c r="BA369" i="1"/>
  <c r="BA370" i="1"/>
  <c r="BA371" i="1"/>
  <c r="BA372" i="1"/>
  <c r="BA373" i="1"/>
  <c r="BA374" i="1"/>
  <c r="BA375" i="1"/>
  <c r="BA376" i="1"/>
  <c r="BA377" i="1"/>
  <c r="BA378" i="1"/>
  <c r="BA379" i="1"/>
  <c r="BA380" i="1"/>
  <c r="BA381" i="1"/>
  <c r="BA382" i="1"/>
  <c r="BA383" i="1"/>
  <c r="BA384" i="1"/>
  <c r="BA385" i="1"/>
  <c r="BA386" i="1"/>
  <c r="BA387" i="1"/>
  <c r="BA388" i="1"/>
  <c r="BA389" i="1"/>
  <c r="BA390" i="1"/>
  <c r="BA391" i="1"/>
  <c r="BA392" i="1"/>
  <c r="BA393" i="1"/>
  <c r="BA394" i="1"/>
  <c r="BA395" i="1"/>
  <c r="BA396" i="1"/>
  <c r="BA397" i="1"/>
  <c r="BA398" i="1"/>
  <c r="BA399" i="1"/>
  <c r="BA400" i="1"/>
  <c r="BA401" i="1"/>
  <c r="BA402" i="1"/>
  <c r="BA403" i="1"/>
  <c r="BA404" i="1"/>
  <c r="BA405" i="1"/>
  <c r="BA406" i="1"/>
  <c r="BA407" i="1"/>
  <c r="BA408" i="1"/>
  <c r="BA409" i="1"/>
  <c r="BA410" i="1"/>
  <c r="BA411" i="1"/>
  <c r="BA412" i="1"/>
  <c r="BA413" i="1"/>
  <c r="BA414" i="1"/>
  <c r="BA415" i="1"/>
  <c r="BA416" i="1"/>
  <c r="BA417" i="1"/>
  <c r="BA418" i="1"/>
  <c r="BA419" i="1"/>
  <c r="BA420" i="1"/>
  <c r="BA421" i="1"/>
  <c r="BA422" i="1"/>
  <c r="BA423" i="1"/>
  <c r="BA424" i="1"/>
  <c r="BA425" i="1"/>
  <c r="BA426" i="1"/>
  <c r="BA427" i="1"/>
  <c r="BA428" i="1"/>
  <c r="BA429" i="1"/>
  <c r="BA430" i="1"/>
  <c r="BA431" i="1"/>
  <c r="BA432" i="1"/>
  <c r="BA433" i="1"/>
  <c r="BA434" i="1"/>
  <c r="BA435" i="1"/>
  <c r="BA436" i="1"/>
  <c r="BA437" i="1"/>
  <c r="BA438" i="1"/>
  <c r="BA439" i="1"/>
  <c r="BA440" i="1"/>
  <c r="BA441" i="1"/>
  <c r="BA442" i="1"/>
  <c r="BA443" i="1"/>
  <c r="BA444" i="1"/>
  <c r="BA445" i="1"/>
  <c r="BA446" i="1"/>
  <c r="BA447" i="1"/>
  <c r="BA448" i="1"/>
  <c r="BA449" i="1"/>
  <c r="BA450" i="1"/>
  <c r="BA451" i="1"/>
  <c r="BA452" i="1"/>
  <c r="BA453" i="1"/>
  <c r="BA454" i="1"/>
  <c r="BA455" i="1"/>
  <c r="BA456" i="1"/>
  <c r="BA457" i="1"/>
  <c r="BA458" i="1"/>
  <c r="BA459" i="1"/>
  <c r="BA460" i="1"/>
  <c r="BA461" i="1"/>
  <c r="BA462" i="1"/>
  <c r="BA463" i="1"/>
  <c r="BA464" i="1"/>
  <c r="BA465" i="1"/>
  <c r="BA466" i="1"/>
  <c r="BA467" i="1"/>
  <c r="BA468" i="1"/>
  <c r="BA469" i="1"/>
  <c r="BA470" i="1"/>
  <c r="BA471" i="1"/>
  <c r="BA472" i="1"/>
  <c r="BA473" i="1"/>
  <c r="BA474" i="1"/>
  <c r="BA475" i="1"/>
  <c r="BA476" i="1"/>
  <c r="BA477" i="1"/>
  <c r="BA478" i="1"/>
  <c r="BA479" i="1"/>
  <c r="BA480" i="1"/>
  <c r="BA481" i="1"/>
  <c r="BA482" i="1"/>
  <c r="BA483" i="1"/>
  <c r="BA484" i="1"/>
  <c r="BA485" i="1"/>
  <c r="BA486" i="1"/>
  <c r="BA487" i="1"/>
  <c r="BA488" i="1"/>
  <c r="BA489" i="1"/>
  <c r="BA490" i="1"/>
  <c r="BA491" i="1"/>
  <c r="BA492" i="1"/>
  <c r="BA493" i="1"/>
  <c r="BA494" i="1"/>
  <c r="BA495" i="1"/>
  <c r="BA496" i="1"/>
  <c r="BA497" i="1"/>
  <c r="BA498" i="1"/>
  <c r="BA499" i="1"/>
  <c r="BA500" i="1"/>
  <c r="BA501" i="1"/>
  <c r="BA502" i="1"/>
  <c r="BA503" i="1"/>
  <c r="BA504" i="1"/>
  <c r="BA505" i="1"/>
  <c r="BA506" i="1"/>
  <c r="BA507" i="1"/>
  <c r="BA508" i="1"/>
  <c r="BA509" i="1"/>
  <c r="BA510" i="1"/>
  <c r="BA511" i="1"/>
  <c r="BA512" i="1"/>
  <c r="BA513" i="1"/>
  <c r="BA514" i="1"/>
  <c r="BA515" i="1"/>
  <c r="BA516" i="1"/>
  <c r="BA517" i="1"/>
  <c r="BA518" i="1"/>
  <c r="BA519" i="1"/>
  <c r="BA520" i="1"/>
  <c r="BA521" i="1"/>
  <c r="BA522" i="1"/>
  <c r="BA523" i="1"/>
  <c r="BA524" i="1"/>
  <c r="BA525" i="1"/>
  <c r="BA526" i="1"/>
  <c r="BA527" i="1"/>
  <c r="BA528" i="1"/>
  <c r="BA529" i="1"/>
  <c r="BA530" i="1"/>
  <c r="BA531" i="1"/>
  <c r="BA532" i="1"/>
  <c r="BA533" i="1"/>
  <c r="BA534" i="1"/>
  <c r="BA535" i="1"/>
  <c r="BA536" i="1"/>
  <c r="BA537" i="1"/>
  <c r="BA538" i="1"/>
  <c r="BA539" i="1"/>
  <c r="BA540" i="1"/>
  <c r="BA541" i="1"/>
  <c r="BA542" i="1"/>
  <c r="BA543" i="1"/>
  <c r="BA544" i="1"/>
  <c r="BA545" i="1"/>
  <c r="BA546" i="1"/>
  <c r="BA547" i="1"/>
  <c r="BA548" i="1"/>
  <c r="BA549" i="1"/>
  <c r="BA550" i="1"/>
  <c r="BA551" i="1"/>
  <c r="BA552" i="1"/>
  <c r="BA553" i="1"/>
  <c r="BA554" i="1"/>
  <c r="BA555" i="1"/>
  <c r="BA556" i="1"/>
  <c r="BA557" i="1"/>
  <c r="BA558" i="1"/>
  <c r="BA559" i="1"/>
  <c r="BA560" i="1"/>
  <c r="BA561" i="1"/>
  <c r="BA562" i="1"/>
  <c r="BA563" i="1"/>
  <c r="BA564" i="1"/>
  <c r="BA565" i="1"/>
  <c r="BA566" i="1"/>
  <c r="BA567" i="1"/>
  <c r="BA568" i="1"/>
  <c r="BA569" i="1"/>
  <c r="BA570" i="1"/>
  <c r="BA571" i="1"/>
  <c r="BA572" i="1"/>
  <c r="BA573" i="1"/>
  <c r="AZ4" i="1"/>
  <c r="AZ5" i="1"/>
  <c r="AZ6" i="1"/>
  <c r="AZ7" i="1"/>
  <c r="BB7" i="1" s="1"/>
  <c r="AZ8" i="1"/>
  <c r="AZ9" i="1"/>
  <c r="AZ10" i="1"/>
  <c r="AZ11" i="1"/>
  <c r="AZ12" i="1"/>
  <c r="AZ13" i="1"/>
  <c r="AZ14" i="1"/>
  <c r="AZ15" i="1"/>
  <c r="BB15" i="1" s="1"/>
  <c r="AZ16" i="1"/>
  <c r="AZ17" i="1"/>
  <c r="AZ18" i="1"/>
  <c r="AZ19" i="1"/>
  <c r="AZ20" i="1"/>
  <c r="AZ21" i="1"/>
  <c r="AZ22" i="1"/>
  <c r="AZ23" i="1"/>
  <c r="BB23" i="1" s="1"/>
  <c r="AZ24" i="1"/>
  <c r="AZ25" i="1"/>
  <c r="AZ26" i="1"/>
  <c r="AZ27" i="1"/>
  <c r="AZ28" i="1"/>
  <c r="AZ29" i="1"/>
  <c r="AZ30" i="1"/>
  <c r="AZ31" i="1"/>
  <c r="BB31" i="1" s="1"/>
  <c r="AZ32" i="1"/>
  <c r="AZ33" i="1"/>
  <c r="AZ34" i="1"/>
  <c r="AZ35" i="1"/>
  <c r="AZ36" i="1"/>
  <c r="AZ37" i="1"/>
  <c r="AZ38" i="1"/>
  <c r="AZ39" i="1"/>
  <c r="BB39" i="1" s="1"/>
  <c r="AZ40" i="1"/>
  <c r="AZ41" i="1"/>
  <c r="AZ42" i="1"/>
  <c r="AZ43" i="1"/>
  <c r="AZ44" i="1"/>
  <c r="AZ45" i="1"/>
  <c r="AZ46" i="1"/>
  <c r="AZ47" i="1"/>
  <c r="BB47" i="1" s="1"/>
  <c r="AZ48" i="1"/>
  <c r="AZ49" i="1"/>
  <c r="AZ50" i="1"/>
  <c r="AZ51" i="1"/>
  <c r="AZ52" i="1"/>
  <c r="AZ53" i="1"/>
  <c r="AZ54" i="1"/>
  <c r="AZ55" i="1"/>
  <c r="BB55" i="1" s="1"/>
  <c r="AZ56" i="1"/>
  <c r="AZ57" i="1"/>
  <c r="AZ58" i="1"/>
  <c r="AZ59" i="1"/>
  <c r="AZ60" i="1"/>
  <c r="AZ61" i="1"/>
  <c r="AZ62" i="1"/>
  <c r="AZ63" i="1"/>
  <c r="BB63" i="1" s="1"/>
  <c r="AZ64" i="1"/>
  <c r="AZ65" i="1"/>
  <c r="AZ66" i="1"/>
  <c r="AZ67" i="1"/>
  <c r="AZ68" i="1"/>
  <c r="AZ69" i="1"/>
  <c r="AZ70" i="1"/>
  <c r="AZ71" i="1"/>
  <c r="BB71" i="1" s="1"/>
  <c r="AZ72" i="1"/>
  <c r="AZ73" i="1"/>
  <c r="AZ74" i="1"/>
  <c r="AZ75" i="1"/>
  <c r="AZ76" i="1"/>
  <c r="AZ77" i="1"/>
  <c r="AZ78" i="1"/>
  <c r="AZ79" i="1"/>
  <c r="BB79" i="1" s="1"/>
  <c r="AZ80" i="1"/>
  <c r="AZ81" i="1"/>
  <c r="AZ82" i="1"/>
  <c r="AZ83" i="1"/>
  <c r="AZ84" i="1"/>
  <c r="AZ85" i="1"/>
  <c r="AZ86" i="1"/>
  <c r="AZ87" i="1"/>
  <c r="BB87" i="1" s="1"/>
  <c r="AZ88" i="1"/>
  <c r="AZ89" i="1"/>
  <c r="AZ90" i="1"/>
  <c r="AZ91" i="1"/>
  <c r="AZ92" i="1"/>
  <c r="AZ93" i="1"/>
  <c r="AZ94" i="1"/>
  <c r="AZ95" i="1"/>
  <c r="BB95" i="1" s="1"/>
  <c r="AZ96" i="1"/>
  <c r="AZ97" i="1"/>
  <c r="AZ98" i="1"/>
  <c r="AZ99" i="1"/>
  <c r="AZ100" i="1"/>
  <c r="AZ101" i="1"/>
  <c r="AZ102" i="1"/>
  <c r="AZ103" i="1"/>
  <c r="BB103" i="1" s="1"/>
  <c r="AZ104" i="1"/>
  <c r="AZ105" i="1"/>
  <c r="AZ106" i="1"/>
  <c r="AZ107" i="1"/>
  <c r="AZ108" i="1"/>
  <c r="AZ109" i="1"/>
  <c r="AZ110" i="1"/>
  <c r="AZ111" i="1"/>
  <c r="BB111" i="1" s="1"/>
  <c r="AZ112" i="1"/>
  <c r="AZ113" i="1"/>
  <c r="AZ114" i="1"/>
  <c r="AZ115" i="1"/>
  <c r="AZ116" i="1"/>
  <c r="AZ117" i="1"/>
  <c r="AZ118" i="1"/>
  <c r="AZ119" i="1"/>
  <c r="BB119" i="1" s="1"/>
  <c r="AZ120" i="1"/>
  <c r="AZ121" i="1"/>
  <c r="AZ122" i="1"/>
  <c r="AZ123" i="1"/>
  <c r="AZ124" i="1"/>
  <c r="AZ125" i="1"/>
  <c r="AZ126" i="1"/>
  <c r="AZ127" i="1"/>
  <c r="BB127" i="1" s="1"/>
  <c r="AZ128" i="1"/>
  <c r="AZ129" i="1"/>
  <c r="AZ130" i="1"/>
  <c r="AZ131" i="1"/>
  <c r="AZ132" i="1"/>
  <c r="AZ133" i="1"/>
  <c r="AZ134" i="1"/>
  <c r="AZ135" i="1"/>
  <c r="BB135" i="1" s="1"/>
  <c r="AZ136" i="1"/>
  <c r="AZ137" i="1"/>
  <c r="AZ138" i="1"/>
  <c r="AZ139" i="1"/>
  <c r="AZ140" i="1"/>
  <c r="AZ141" i="1"/>
  <c r="AZ142" i="1"/>
  <c r="AZ143" i="1"/>
  <c r="BB143" i="1" s="1"/>
  <c r="AZ144" i="1"/>
  <c r="AZ145" i="1"/>
  <c r="AZ146" i="1"/>
  <c r="AZ147" i="1"/>
  <c r="AZ148" i="1"/>
  <c r="AZ149" i="1"/>
  <c r="AZ150" i="1"/>
  <c r="AZ151" i="1"/>
  <c r="BB151" i="1" s="1"/>
  <c r="AZ152" i="1"/>
  <c r="AZ153" i="1"/>
  <c r="AZ154" i="1"/>
  <c r="AZ155" i="1"/>
  <c r="AZ156" i="1"/>
  <c r="AZ157" i="1"/>
  <c r="AZ158" i="1"/>
  <c r="AZ159" i="1"/>
  <c r="BB159" i="1" s="1"/>
  <c r="AZ160" i="1"/>
  <c r="AZ161" i="1"/>
  <c r="AZ162" i="1"/>
  <c r="AZ163" i="1"/>
  <c r="AZ164" i="1"/>
  <c r="AZ165" i="1"/>
  <c r="AZ166" i="1"/>
  <c r="AZ167" i="1"/>
  <c r="BB167" i="1" s="1"/>
  <c r="AZ168" i="1"/>
  <c r="AZ169" i="1"/>
  <c r="AZ170" i="1"/>
  <c r="AZ171" i="1"/>
  <c r="AZ172" i="1"/>
  <c r="AZ173" i="1"/>
  <c r="AZ174" i="1"/>
  <c r="AZ175" i="1"/>
  <c r="BB175" i="1" s="1"/>
  <c r="AZ176" i="1"/>
  <c r="AZ177" i="1"/>
  <c r="AZ178" i="1"/>
  <c r="AZ179" i="1"/>
  <c r="AZ180" i="1"/>
  <c r="AZ181" i="1"/>
  <c r="AZ182" i="1"/>
  <c r="AZ183" i="1"/>
  <c r="BB183" i="1" s="1"/>
  <c r="AZ184" i="1"/>
  <c r="AZ185" i="1"/>
  <c r="AZ186" i="1"/>
  <c r="AZ187" i="1"/>
  <c r="AZ188" i="1"/>
  <c r="AZ189" i="1"/>
  <c r="AZ190" i="1"/>
  <c r="AZ191" i="1"/>
  <c r="BB191" i="1" s="1"/>
  <c r="AZ192" i="1"/>
  <c r="AZ193" i="1"/>
  <c r="AZ194" i="1"/>
  <c r="AZ195" i="1"/>
  <c r="AZ196" i="1"/>
  <c r="AZ197" i="1"/>
  <c r="AZ198" i="1"/>
  <c r="AZ199" i="1"/>
  <c r="BB199" i="1" s="1"/>
  <c r="AZ200" i="1"/>
  <c r="AZ201" i="1"/>
  <c r="AZ202" i="1"/>
  <c r="AZ203" i="1"/>
  <c r="AZ204" i="1"/>
  <c r="AZ205" i="1"/>
  <c r="AZ206" i="1"/>
  <c r="AZ207" i="1"/>
  <c r="BB207" i="1" s="1"/>
  <c r="AZ208" i="1"/>
  <c r="AZ209" i="1"/>
  <c r="AZ210" i="1"/>
  <c r="AZ211" i="1"/>
  <c r="AZ212" i="1"/>
  <c r="AZ213" i="1"/>
  <c r="AZ214" i="1"/>
  <c r="AZ215" i="1"/>
  <c r="BB215" i="1" s="1"/>
  <c r="AZ216" i="1"/>
  <c r="AZ217" i="1"/>
  <c r="AZ218" i="1"/>
  <c r="AZ219" i="1"/>
  <c r="AZ220" i="1"/>
  <c r="AZ221" i="1"/>
  <c r="AZ222" i="1"/>
  <c r="AZ223" i="1"/>
  <c r="BB223" i="1" s="1"/>
  <c r="AZ224" i="1"/>
  <c r="AZ225" i="1"/>
  <c r="AZ226" i="1"/>
  <c r="AZ227" i="1"/>
  <c r="AZ228" i="1"/>
  <c r="AZ229" i="1"/>
  <c r="AZ230" i="1"/>
  <c r="AZ231" i="1"/>
  <c r="BB231" i="1" s="1"/>
  <c r="AZ232" i="1"/>
  <c r="AZ233" i="1"/>
  <c r="AZ234" i="1"/>
  <c r="AZ235" i="1"/>
  <c r="AZ236" i="1"/>
  <c r="AZ237" i="1"/>
  <c r="AZ238" i="1"/>
  <c r="AZ239" i="1"/>
  <c r="BB239" i="1" s="1"/>
  <c r="AZ240" i="1"/>
  <c r="AZ241" i="1"/>
  <c r="AZ242" i="1"/>
  <c r="AZ243" i="1"/>
  <c r="AZ244" i="1"/>
  <c r="AZ245" i="1"/>
  <c r="AZ246" i="1"/>
  <c r="AZ247" i="1"/>
  <c r="BB247" i="1" s="1"/>
  <c r="AZ248" i="1"/>
  <c r="AZ249" i="1"/>
  <c r="AZ250" i="1"/>
  <c r="AZ251" i="1"/>
  <c r="AZ252" i="1"/>
  <c r="AZ253" i="1"/>
  <c r="AZ254" i="1"/>
  <c r="AZ255" i="1"/>
  <c r="BB255" i="1" s="1"/>
  <c r="AZ256" i="1"/>
  <c r="AZ257" i="1"/>
  <c r="AZ258" i="1"/>
  <c r="AZ259" i="1"/>
  <c r="AZ260" i="1"/>
  <c r="AZ261" i="1"/>
  <c r="AZ262" i="1"/>
  <c r="AZ263" i="1"/>
  <c r="BB263" i="1" s="1"/>
  <c r="AZ264" i="1"/>
  <c r="AZ265" i="1"/>
  <c r="AZ266" i="1"/>
  <c r="AZ267" i="1"/>
  <c r="AZ268" i="1"/>
  <c r="AZ269" i="1"/>
  <c r="AZ270" i="1"/>
  <c r="AZ271" i="1"/>
  <c r="BB271" i="1" s="1"/>
  <c r="AZ272" i="1"/>
  <c r="AZ273" i="1"/>
  <c r="AZ274" i="1"/>
  <c r="AZ275" i="1"/>
  <c r="AZ276" i="1"/>
  <c r="AZ277" i="1"/>
  <c r="AZ278" i="1"/>
  <c r="AZ279" i="1"/>
  <c r="BB279" i="1" s="1"/>
  <c r="AZ280" i="1"/>
  <c r="AZ281" i="1"/>
  <c r="AZ282" i="1"/>
  <c r="AZ283" i="1"/>
  <c r="AZ284" i="1"/>
  <c r="AZ285" i="1"/>
  <c r="AZ286" i="1"/>
  <c r="AZ287" i="1"/>
  <c r="BB287" i="1" s="1"/>
  <c r="AZ288" i="1"/>
  <c r="AZ289" i="1"/>
  <c r="AZ290" i="1"/>
  <c r="AZ291" i="1"/>
  <c r="AZ292" i="1"/>
  <c r="AZ293" i="1"/>
  <c r="AZ294" i="1"/>
  <c r="AZ295" i="1"/>
  <c r="BB295" i="1" s="1"/>
  <c r="AZ296" i="1"/>
  <c r="AZ297" i="1"/>
  <c r="AZ298" i="1"/>
  <c r="AZ299" i="1"/>
  <c r="AZ300" i="1"/>
  <c r="AZ301" i="1"/>
  <c r="AZ302" i="1"/>
  <c r="AZ303" i="1"/>
  <c r="BB303" i="1" s="1"/>
  <c r="AZ304" i="1"/>
  <c r="AZ305" i="1"/>
  <c r="AZ306" i="1"/>
  <c r="AZ307" i="1"/>
  <c r="AZ308" i="1"/>
  <c r="AZ309" i="1"/>
  <c r="AZ310" i="1"/>
  <c r="AZ311" i="1"/>
  <c r="BB311" i="1" s="1"/>
  <c r="AZ312" i="1"/>
  <c r="AZ313" i="1"/>
  <c r="AZ314" i="1"/>
  <c r="AZ315" i="1"/>
  <c r="AZ316" i="1"/>
  <c r="AZ317" i="1"/>
  <c r="AZ318" i="1"/>
  <c r="AZ319" i="1"/>
  <c r="BB319" i="1" s="1"/>
  <c r="AZ320" i="1"/>
  <c r="AZ321" i="1"/>
  <c r="AZ322" i="1"/>
  <c r="AZ323" i="1"/>
  <c r="AZ324" i="1"/>
  <c r="AZ325" i="1"/>
  <c r="AZ326" i="1"/>
  <c r="AZ327" i="1"/>
  <c r="BB327" i="1" s="1"/>
  <c r="AZ328" i="1"/>
  <c r="AZ329" i="1"/>
  <c r="AZ330" i="1"/>
  <c r="AZ331" i="1"/>
  <c r="AZ332" i="1"/>
  <c r="AZ333" i="1"/>
  <c r="AZ334" i="1"/>
  <c r="AZ335" i="1"/>
  <c r="BB335" i="1" s="1"/>
  <c r="AZ336" i="1"/>
  <c r="AZ337" i="1"/>
  <c r="AZ338" i="1"/>
  <c r="AZ339" i="1"/>
  <c r="AZ340" i="1"/>
  <c r="AZ341" i="1"/>
  <c r="AZ342" i="1"/>
  <c r="AZ343" i="1"/>
  <c r="BB343" i="1" s="1"/>
  <c r="AZ344" i="1"/>
  <c r="AZ345" i="1"/>
  <c r="AZ346" i="1"/>
  <c r="AZ347" i="1"/>
  <c r="AZ348" i="1"/>
  <c r="AZ349" i="1"/>
  <c r="AZ350" i="1"/>
  <c r="AZ351" i="1"/>
  <c r="BB351" i="1" s="1"/>
  <c r="AZ352" i="1"/>
  <c r="AZ353" i="1"/>
  <c r="AZ354" i="1"/>
  <c r="AZ355" i="1"/>
  <c r="AZ356" i="1"/>
  <c r="AZ357" i="1"/>
  <c r="AZ358" i="1"/>
  <c r="AZ359" i="1"/>
  <c r="BB359" i="1" s="1"/>
  <c r="AZ360" i="1"/>
  <c r="AZ361" i="1"/>
  <c r="AZ362" i="1"/>
  <c r="AZ363" i="1"/>
  <c r="AZ364" i="1"/>
  <c r="AZ365" i="1"/>
  <c r="AZ366" i="1"/>
  <c r="AZ367" i="1"/>
  <c r="BB367" i="1" s="1"/>
  <c r="AZ368" i="1"/>
  <c r="AZ369" i="1"/>
  <c r="AZ370" i="1"/>
  <c r="AZ371" i="1"/>
  <c r="AZ372" i="1"/>
  <c r="AZ373" i="1"/>
  <c r="AZ374" i="1"/>
  <c r="BB374" i="1" s="1"/>
  <c r="AZ375" i="1"/>
  <c r="BB375" i="1" s="1"/>
  <c r="AZ376" i="1"/>
  <c r="AZ377" i="1"/>
  <c r="AZ378" i="1"/>
  <c r="AZ379" i="1"/>
  <c r="AZ380" i="1"/>
  <c r="AZ381" i="1"/>
  <c r="AZ382" i="1"/>
  <c r="BB382" i="1" s="1"/>
  <c r="AZ383" i="1"/>
  <c r="BB383" i="1" s="1"/>
  <c r="AZ384" i="1"/>
  <c r="AZ385" i="1"/>
  <c r="AZ386" i="1"/>
  <c r="AZ387" i="1"/>
  <c r="AZ388" i="1"/>
  <c r="AZ389" i="1"/>
  <c r="AZ390" i="1"/>
  <c r="BB390" i="1" s="1"/>
  <c r="AZ391" i="1"/>
  <c r="BB391" i="1" s="1"/>
  <c r="AZ392" i="1"/>
  <c r="AZ393" i="1"/>
  <c r="AZ394" i="1"/>
  <c r="AZ395" i="1"/>
  <c r="AZ396" i="1"/>
  <c r="AZ397" i="1"/>
  <c r="AZ398" i="1"/>
  <c r="BB398" i="1" s="1"/>
  <c r="AZ399" i="1"/>
  <c r="BB399" i="1" s="1"/>
  <c r="AZ400" i="1"/>
  <c r="AZ401" i="1"/>
  <c r="AZ402" i="1"/>
  <c r="AZ403" i="1"/>
  <c r="AZ404" i="1"/>
  <c r="AZ405" i="1"/>
  <c r="AZ406" i="1"/>
  <c r="BB406" i="1" s="1"/>
  <c r="AZ407" i="1"/>
  <c r="BB407" i="1" s="1"/>
  <c r="AZ408" i="1"/>
  <c r="AZ409" i="1"/>
  <c r="AZ410" i="1"/>
  <c r="AZ411" i="1"/>
  <c r="AZ412" i="1"/>
  <c r="AZ413" i="1"/>
  <c r="AZ414" i="1"/>
  <c r="BB414" i="1" s="1"/>
  <c r="AZ415" i="1"/>
  <c r="BB415" i="1" s="1"/>
  <c r="AZ416" i="1"/>
  <c r="AZ417" i="1"/>
  <c r="AZ418" i="1"/>
  <c r="AZ419" i="1"/>
  <c r="AZ420" i="1"/>
  <c r="AZ421" i="1"/>
  <c r="AZ422" i="1"/>
  <c r="BB422" i="1" s="1"/>
  <c r="AZ423" i="1"/>
  <c r="BB423" i="1" s="1"/>
  <c r="AZ424" i="1"/>
  <c r="AZ425" i="1"/>
  <c r="AZ426" i="1"/>
  <c r="AZ427" i="1"/>
  <c r="AZ428" i="1"/>
  <c r="AZ429" i="1"/>
  <c r="AZ430" i="1"/>
  <c r="BB430" i="1" s="1"/>
  <c r="AZ431" i="1"/>
  <c r="BB431" i="1" s="1"/>
  <c r="AZ432" i="1"/>
  <c r="AZ433" i="1"/>
  <c r="AZ434" i="1"/>
  <c r="AZ435" i="1"/>
  <c r="AZ436" i="1"/>
  <c r="AZ437" i="1"/>
  <c r="AZ438" i="1"/>
  <c r="AZ439" i="1"/>
  <c r="BB439" i="1" s="1"/>
  <c r="AZ440" i="1"/>
  <c r="AZ441" i="1"/>
  <c r="AZ442" i="1"/>
  <c r="AZ443" i="1"/>
  <c r="AZ444" i="1"/>
  <c r="AZ445" i="1"/>
  <c r="AZ446" i="1"/>
  <c r="AZ447" i="1"/>
  <c r="BB447" i="1" s="1"/>
  <c r="AZ448" i="1"/>
  <c r="AZ449" i="1"/>
  <c r="AZ450" i="1"/>
  <c r="AZ451" i="1"/>
  <c r="AZ452" i="1"/>
  <c r="AZ453" i="1"/>
  <c r="AZ454" i="1"/>
  <c r="AZ455" i="1"/>
  <c r="BB455" i="1" s="1"/>
  <c r="AZ456" i="1"/>
  <c r="AZ457" i="1"/>
  <c r="AZ458" i="1"/>
  <c r="AZ459" i="1"/>
  <c r="AZ460" i="1"/>
  <c r="AZ461" i="1"/>
  <c r="AZ462" i="1"/>
  <c r="AZ463" i="1"/>
  <c r="BB463" i="1" s="1"/>
  <c r="AZ464" i="1"/>
  <c r="AZ465" i="1"/>
  <c r="AZ466" i="1"/>
  <c r="AZ467" i="1"/>
  <c r="AZ468" i="1"/>
  <c r="AZ469" i="1"/>
  <c r="AZ470" i="1"/>
  <c r="AZ471" i="1"/>
  <c r="BB471" i="1" s="1"/>
  <c r="AZ472" i="1"/>
  <c r="AZ473" i="1"/>
  <c r="AZ474" i="1"/>
  <c r="AZ475" i="1"/>
  <c r="AZ476" i="1"/>
  <c r="AZ477" i="1"/>
  <c r="AZ478" i="1"/>
  <c r="AZ479" i="1"/>
  <c r="BB479" i="1" s="1"/>
  <c r="AZ480" i="1"/>
  <c r="AZ481" i="1"/>
  <c r="AZ482" i="1"/>
  <c r="AZ483" i="1"/>
  <c r="AZ484" i="1"/>
  <c r="AZ485" i="1"/>
  <c r="AZ486" i="1"/>
  <c r="AZ487" i="1"/>
  <c r="BB487" i="1" s="1"/>
  <c r="AZ488" i="1"/>
  <c r="AZ489" i="1"/>
  <c r="AZ490" i="1"/>
  <c r="AZ491" i="1"/>
  <c r="AZ492" i="1"/>
  <c r="AZ493" i="1"/>
  <c r="AZ494" i="1"/>
  <c r="AZ495" i="1"/>
  <c r="BB495" i="1" s="1"/>
  <c r="AZ496" i="1"/>
  <c r="AZ497" i="1"/>
  <c r="AZ498" i="1"/>
  <c r="AZ499" i="1"/>
  <c r="AZ500" i="1"/>
  <c r="AZ501" i="1"/>
  <c r="AZ502" i="1"/>
  <c r="AZ503" i="1"/>
  <c r="BB503" i="1" s="1"/>
  <c r="AZ504" i="1"/>
  <c r="AZ505" i="1"/>
  <c r="AZ506" i="1"/>
  <c r="AZ507" i="1"/>
  <c r="AZ508" i="1"/>
  <c r="AZ509" i="1"/>
  <c r="AZ510" i="1"/>
  <c r="AZ511" i="1"/>
  <c r="BB511" i="1" s="1"/>
  <c r="AZ512" i="1"/>
  <c r="AZ513" i="1"/>
  <c r="AZ514" i="1"/>
  <c r="AZ515" i="1"/>
  <c r="AZ516" i="1"/>
  <c r="AZ517" i="1"/>
  <c r="AZ518" i="1"/>
  <c r="AZ519" i="1"/>
  <c r="BB519" i="1" s="1"/>
  <c r="AZ520" i="1"/>
  <c r="AZ521" i="1"/>
  <c r="AZ522" i="1"/>
  <c r="AZ523" i="1"/>
  <c r="AZ524" i="1"/>
  <c r="AZ525" i="1"/>
  <c r="AZ526" i="1"/>
  <c r="AZ527" i="1"/>
  <c r="BB527" i="1" s="1"/>
  <c r="AZ528" i="1"/>
  <c r="AZ529" i="1"/>
  <c r="AZ530" i="1"/>
  <c r="AZ531" i="1"/>
  <c r="AZ532" i="1"/>
  <c r="AZ533" i="1"/>
  <c r="AZ534" i="1"/>
  <c r="AZ535" i="1"/>
  <c r="BB535" i="1" s="1"/>
  <c r="AZ536" i="1"/>
  <c r="AZ537" i="1"/>
  <c r="AZ538" i="1"/>
  <c r="AZ539" i="1"/>
  <c r="AZ540" i="1"/>
  <c r="AZ541" i="1"/>
  <c r="AZ542" i="1"/>
  <c r="AZ543" i="1"/>
  <c r="BB543" i="1" s="1"/>
  <c r="AZ544" i="1"/>
  <c r="AZ545" i="1"/>
  <c r="AZ546" i="1"/>
  <c r="AZ547" i="1"/>
  <c r="AZ548" i="1"/>
  <c r="AZ549" i="1"/>
  <c r="AZ550" i="1"/>
  <c r="AZ551" i="1"/>
  <c r="BB551" i="1" s="1"/>
  <c r="AZ552" i="1"/>
  <c r="AZ553" i="1"/>
  <c r="AZ554" i="1"/>
  <c r="AZ555" i="1"/>
  <c r="AZ556" i="1"/>
  <c r="AZ557" i="1"/>
  <c r="AZ558" i="1"/>
  <c r="AZ559" i="1"/>
  <c r="BB559" i="1" s="1"/>
  <c r="AZ560" i="1"/>
  <c r="AZ561" i="1"/>
  <c r="AZ562" i="1"/>
  <c r="AZ563" i="1"/>
  <c r="AZ564" i="1"/>
  <c r="AZ565" i="1"/>
  <c r="AZ566" i="1"/>
  <c r="AZ567" i="1"/>
  <c r="BB567" i="1" s="1"/>
  <c r="AZ568" i="1"/>
  <c r="AZ569" i="1"/>
  <c r="AZ570" i="1"/>
  <c r="AZ571" i="1"/>
  <c r="AZ572" i="1"/>
  <c r="AZ573" i="1"/>
  <c r="BA3" i="1"/>
  <c r="AZ3" i="1"/>
  <c r="G3" i="1"/>
  <c r="W3" i="1"/>
  <c r="X3" i="1"/>
  <c r="Y3" i="1"/>
  <c r="BL3" i="1"/>
  <c r="CM3" i="1"/>
  <c r="G4" i="1"/>
  <c r="W4" i="1"/>
  <c r="X4" i="1"/>
  <c r="Y4" i="1"/>
  <c r="BL4" i="1"/>
  <c r="CM4" i="1"/>
  <c r="G5" i="1"/>
  <c r="W5" i="1"/>
  <c r="X5" i="1"/>
  <c r="Y5" i="1"/>
  <c r="BL5" i="1"/>
  <c r="CM5" i="1"/>
  <c r="G6" i="1"/>
  <c r="W6" i="1"/>
  <c r="X6" i="1"/>
  <c r="Y6" i="1"/>
  <c r="BL6" i="1"/>
  <c r="CM6" i="1"/>
  <c r="G7" i="1"/>
  <c r="W7" i="1"/>
  <c r="X7" i="1"/>
  <c r="Y7" i="1"/>
  <c r="BL7" i="1"/>
  <c r="CM7" i="1"/>
  <c r="G8" i="1"/>
  <c r="W8" i="1"/>
  <c r="X8" i="1"/>
  <c r="Y8" i="1"/>
  <c r="BL8" i="1"/>
  <c r="CM8" i="1"/>
  <c r="G9" i="1"/>
  <c r="W9" i="1"/>
  <c r="X9" i="1"/>
  <c r="Y9" i="1"/>
  <c r="BL9" i="1"/>
  <c r="CM9" i="1"/>
  <c r="G10" i="1"/>
  <c r="W10" i="1"/>
  <c r="X10" i="1"/>
  <c r="Y10" i="1"/>
  <c r="BL10" i="1"/>
  <c r="CM10" i="1"/>
  <c r="G11" i="1"/>
  <c r="W11" i="1"/>
  <c r="X11" i="1"/>
  <c r="Y11" i="1"/>
  <c r="BL11" i="1"/>
  <c r="CM11" i="1"/>
  <c r="G12" i="1"/>
  <c r="W12" i="1"/>
  <c r="X12" i="1"/>
  <c r="Y12" i="1"/>
  <c r="BL12" i="1"/>
  <c r="CM12" i="1"/>
  <c r="G13" i="1"/>
  <c r="W13" i="1"/>
  <c r="X13" i="1"/>
  <c r="Y13" i="1"/>
  <c r="BL13" i="1"/>
  <c r="CM13" i="1"/>
  <c r="G14" i="1"/>
  <c r="W14" i="1"/>
  <c r="X14" i="1"/>
  <c r="Y14" i="1"/>
  <c r="BL14" i="1"/>
  <c r="CM14" i="1"/>
  <c r="G15" i="1"/>
  <c r="W15" i="1"/>
  <c r="X15" i="1"/>
  <c r="Y15" i="1"/>
  <c r="BL15" i="1"/>
  <c r="CM15" i="1"/>
  <c r="G16" i="1"/>
  <c r="W16" i="1"/>
  <c r="X16" i="1"/>
  <c r="Y16" i="1"/>
  <c r="BL16" i="1"/>
  <c r="CM16" i="1"/>
  <c r="G17" i="1"/>
  <c r="W17" i="1"/>
  <c r="X17" i="1"/>
  <c r="Y17" i="1"/>
  <c r="BL17" i="1"/>
  <c r="CM17" i="1"/>
  <c r="G18" i="1"/>
  <c r="W18" i="1"/>
  <c r="X18" i="1"/>
  <c r="Y18" i="1"/>
  <c r="BL18" i="1"/>
  <c r="CM18" i="1"/>
  <c r="G19" i="1"/>
  <c r="W19" i="1"/>
  <c r="X19" i="1"/>
  <c r="Y19" i="1"/>
  <c r="BL19" i="1"/>
  <c r="CM19" i="1"/>
  <c r="G20" i="1"/>
  <c r="W20" i="1"/>
  <c r="X20" i="1"/>
  <c r="Y20" i="1"/>
  <c r="BL20" i="1"/>
  <c r="CM20" i="1"/>
  <c r="G21" i="1"/>
  <c r="W21" i="1"/>
  <c r="X21" i="1"/>
  <c r="Y21" i="1"/>
  <c r="BL21" i="1"/>
  <c r="CM21" i="1"/>
  <c r="G22" i="1"/>
  <c r="W22" i="1"/>
  <c r="X22" i="1"/>
  <c r="Y22" i="1"/>
  <c r="BL22" i="1"/>
  <c r="CM22" i="1"/>
  <c r="G23" i="1"/>
  <c r="W23" i="1"/>
  <c r="X23" i="1"/>
  <c r="Y23" i="1"/>
  <c r="BL23" i="1"/>
  <c r="CM23" i="1"/>
  <c r="G24" i="1"/>
  <c r="W24" i="1"/>
  <c r="X24" i="1"/>
  <c r="Y24" i="1"/>
  <c r="BL24" i="1"/>
  <c r="CM24" i="1"/>
  <c r="G25" i="1"/>
  <c r="W25" i="1"/>
  <c r="X25" i="1"/>
  <c r="Y25" i="1"/>
  <c r="BL25" i="1"/>
  <c r="CM25" i="1"/>
  <c r="G26" i="1"/>
  <c r="W26" i="1"/>
  <c r="X26" i="1"/>
  <c r="Y26" i="1"/>
  <c r="BL26" i="1"/>
  <c r="CM26" i="1"/>
  <c r="G27" i="1"/>
  <c r="W27" i="1"/>
  <c r="X27" i="1"/>
  <c r="Y27" i="1"/>
  <c r="BL27" i="1"/>
  <c r="CM27" i="1"/>
  <c r="G28" i="1"/>
  <c r="W28" i="1"/>
  <c r="X28" i="1"/>
  <c r="Y28" i="1"/>
  <c r="BL28" i="1"/>
  <c r="CM28" i="1"/>
  <c r="G29" i="1"/>
  <c r="W29" i="1"/>
  <c r="X29" i="1"/>
  <c r="Y29" i="1"/>
  <c r="BL29" i="1"/>
  <c r="CM29" i="1"/>
  <c r="G30" i="1"/>
  <c r="W30" i="1"/>
  <c r="X30" i="1"/>
  <c r="Y30" i="1"/>
  <c r="BL30" i="1"/>
  <c r="CM30" i="1"/>
  <c r="G31" i="1"/>
  <c r="W31" i="1"/>
  <c r="X31" i="1"/>
  <c r="Y31" i="1"/>
  <c r="BL31" i="1"/>
  <c r="CM31" i="1"/>
  <c r="G32" i="1"/>
  <c r="W32" i="1"/>
  <c r="X32" i="1"/>
  <c r="Y32" i="1"/>
  <c r="BL32" i="1"/>
  <c r="CM32" i="1"/>
  <c r="G33" i="1"/>
  <c r="W33" i="1"/>
  <c r="X33" i="1"/>
  <c r="Y33" i="1"/>
  <c r="BL33" i="1"/>
  <c r="CM33" i="1"/>
  <c r="G34" i="1"/>
  <c r="W34" i="1"/>
  <c r="X34" i="1"/>
  <c r="Y34" i="1"/>
  <c r="BL34" i="1"/>
  <c r="CM34" i="1"/>
  <c r="G35" i="1"/>
  <c r="W35" i="1"/>
  <c r="X35" i="1"/>
  <c r="Y35" i="1"/>
  <c r="BL35" i="1"/>
  <c r="CM35" i="1"/>
  <c r="G36" i="1"/>
  <c r="W36" i="1"/>
  <c r="X36" i="1"/>
  <c r="Y36" i="1"/>
  <c r="BL36" i="1"/>
  <c r="CM36" i="1"/>
  <c r="G37" i="1"/>
  <c r="W37" i="1"/>
  <c r="X37" i="1"/>
  <c r="Y37" i="1"/>
  <c r="BL37" i="1"/>
  <c r="CM37" i="1"/>
  <c r="G38" i="1"/>
  <c r="W38" i="1"/>
  <c r="X38" i="1"/>
  <c r="Y38" i="1"/>
  <c r="BL38" i="1"/>
  <c r="CM38" i="1"/>
  <c r="G39" i="1"/>
  <c r="W39" i="1"/>
  <c r="X39" i="1"/>
  <c r="Y39" i="1"/>
  <c r="BL39" i="1"/>
  <c r="CM39" i="1"/>
  <c r="G40" i="1"/>
  <c r="W40" i="1"/>
  <c r="X40" i="1"/>
  <c r="Y40" i="1"/>
  <c r="BL40" i="1"/>
  <c r="CM40" i="1"/>
  <c r="G41" i="1"/>
  <c r="W41" i="1"/>
  <c r="X41" i="1"/>
  <c r="Y41" i="1"/>
  <c r="BL41" i="1"/>
  <c r="CM41" i="1"/>
  <c r="G42" i="1"/>
  <c r="W42" i="1"/>
  <c r="X42" i="1"/>
  <c r="Y42" i="1"/>
  <c r="BL42" i="1"/>
  <c r="CM42" i="1"/>
  <c r="G43" i="1"/>
  <c r="W43" i="1"/>
  <c r="X43" i="1"/>
  <c r="Y43" i="1"/>
  <c r="BL43" i="1"/>
  <c r="CM43" i="1"/>
  <c r="G44" i="1"/>
  <c r="W44" i="1"/>
  <c r="X44" i="1"/>
  <c r="Y44" i="1"/>
  <c r="BL44" i="1"/>
  <c r="CM44" i="1"/>
  <c r="G45" i="1"/>
  <c r="W45" i="1"/>
  <c r="X45" i="1"/>
  <c r="Y45" i="1"/>
  <c r="BL45" i="1"/>
  <c r="CM45" i="1"/>
  <c r="G46" i="1"/>
  <c r="W46" i="1"/>
  <c r="X46" i="1"/>
  <c r="Y46" i="1"/>
  <c r="BL46" i="1"/>
  <c r="CM46" i="1"/>
  <c r="G47" i="1"/>
  <c r="W47" i="1"/>
  <c r="X47" i="1"/>
  <c r="Y47" i="1"/>
  <c r="BL47" i="1"/>
  <c r="CM47" i="1"/>
  <c r="G48" i="1"/>
  <c r="W48" i="1"/>
  <c r="X48" i="1"/>
  <c r="Y48" i="1"/>
  <c r="BL48" i="1"/>
  <c r="CM48" i="1"/>
  <c r="G49" i="1"/>
  <c r="W49" i="1"/>
  <c r="X49" i="1"/>
  <c r="Y49" i="1"/>
  <c r="BL49" i="1"/>
  <c r="CM49" i="1"/>
  <c r="G50" i="1"/>
  <c r="W50" i="1"/>
  <c r="X50" i="1"/>
  <c r="Y50" i="1"/>
  <c r="BL50" i="1"/>
  <c r="CM50" i="1"/>
  <c r="G51" i="1"/>
  <c r="W51" i="1"/>
  <c r="X51" i="1"/>
  <c r="Y51" i="1"/>
  <c r="BL51" i="1"/>
  <c r="CM51" i="1"/>
  <c r="G52" i="1"/>
  <c r="W52" i="1"/>
  <c r="X52" i="1"/>
  <c r="Y52" i="1"/>
  <c r="BL52" i="1"/>
  <c r="CM52" i="1"/>
  <c r="G53" i="1"/>
  <c r="W53" i="1"/>
  <c r="X53" i="1"/>
  <c r="Y53" i="1"/>
  <c r="BL53" i="1"/>
  <c r="CM53" i="1"/>
  <c r="G54" i="1"/>
  <c r="W54" i="1"/>
  <c r="X54" i="1"/>
  <c r="Y54" i="1"/>
  <c r="BL54" i="1"/>
  <c r="CM54" i="1"/>
  <c r="G55" i="1"/>
  <c r="W55" i="1"/>
  <c r="X55" i="1"/>
  <c r="Y55" i="1"/>
  <c r="BL55" i="1"/>
  <c r="CM55" i="1"/>
  <c r="G56" i="1"/>
  <c r="W56" i="1"/>
  <c r="X56" i="1"/>
  <c r="Y56" i="1"/>
  <c r="BL56" i="1"/>
  <c r="CM56" i="1"/>
  <c r="G57" i="1"/>
  <c r="W57" i="1"/>
  <c r="X57" i="1"/>
  <c r="Y57" i="1"/>
  <c r="BL57" i="1"/>
  <c r="CM57" i="1"/>
  <c r="G58" i="1"/>
  <c r="W58" i="1"/>
  <c r="X58" i="1"/>
  <c r="Y58" i="1"/>
  <c r="BL58" i="1"/>
  <c r="CM58" i="1"/>
  <c r="G59" i="1"/>
  <c r="W59" i="1"/>
  <c r="X59" i="1"/>
  <c r="Y59" i="1"/>
  <c r="BL59" i="1"/>
  <c r="CM59" i="1"/>
  <c r="G60" i="1"/>
  <c r="W60" i="1"/>
  <c r="X60" i="1"/>
  <c r="Y60" i="1"/>
  <c r="BL60" i="1"/>
  <c r="CM60" i="1"/>
  <c r="G61" i="1"/>
  <c r="W61" i="1"/>
  <c r="X61" i="1"/>
  <c r="Y61" i="1"/>
  <c r="BL61" i="1"/>
  <c r="CM61" i="1"/>
  <c r="G62" i="1"/>
  <c r="W62" i="1"/>
  <c r="X62" i="1"/>
  <c r="Y62" i="1"/>
  <c r="BL62" i="1"/>
  <c r="CM62" i="1"/>
  <c r="G63" i="1"/>
  <c r="W63" i="1"/>
  <c r="X63" i="1"/>
  <c r="Y63" i="1"/>
  <c r="BL63" i="1"/>
  <c r="CM63" i="1"/>
  <c r="G64" i="1"/>
  <c r="W64" i="1"/>
  <c r="X64" i="1"/>
  <c r="Y64" i="1"/>
  <c r="BL64" i="1"/>
  <c r="CM64" i="1"/>
  <c r="G65" i="1"/>
  <c r="W65" i="1"/>
  <c r="X65" i="1"/>
  <c r="Y65" i="1"/>
  <c r="BL65" i="1"/>
  <c r="CM65" i="1"/>
  <c r="G66" i="1"/>
  <c r="W66" i="1"/>
  <c r="X66" i="1"/>
  <c r="Y66" i="1"/>
  <c r="BL66" i="1"/>
  <c r="CM66" i="1"/>
  <c r="G67" i="1"/>
  <c r="W67" i="1"/>
  <c r="X67" i="1"/>
  <c r="Y67" i="1"/>
  <c r="BL67" i="1"/>
  <c r="CM67" i="1"/>
  <c r="G68" i="1"/>
  <c r="W68" i="1"/>
  <c r="X68" i="1"/>
  <c r="Y68" i="1"/>
  <c r="BL68" i="1"/>
  <c r="CM68" i="1"/>
  <c r="G69" i="1"/>
  <c r="W69" i="1"/>
  <c r="X69" i="1"/>
  <c r="Y69" i="1"/>
  <c r="BL69" i="1"/>
  <c r="CM69" i="1"/>
  <c r="G70" i="1"/>
  <c r="W70" i="1"/>
  <c r="X70" i="1"/>
  <c r="Y70" i="1"/>
  <c r="BL70" i="1"/>
  <c r="CM70" i="1"/>
  <c r="G71" i="1"/>
  <c r="W71" i="1"/>
  <c r="X71" i="1"/>
  <c r="Y71" i="1"/>
  <c r="BL71" i="1"/>
  <c r="CM71" i="1"/>
  <c r="G72" i="1"/>
  <c r="W72" i="1"/>
  <c r="X72" i="1"/>
  <c r="Y72" i="1"/>
  <c r="BL72" i="1"/>
  <c r="CM72" i="1"/>
  <c r="G73" i="1"/>
  <c r="W73" i="1"/>
  <c r="X73" i="1"/>
  <c r="Y73" i="1"/>
  <c r="BL73" i="1"/>
  <c r="CM73" i="1"/>
  <c r="G74" i="1"/>
  <c r="W74" i="1"/>
  <c r="X74" i="1"/>
  <c r="Y74" i="1"/>
  <c r="BL74" i="1"/>
  <c r="CM74" i="1"/>
  <c r="G75" i="1"/>
  <c r="W75" i="1"/>
  <c r="X75" i="1"/>
  <c r="Y75" i="1"/>
  <c r="BL75" i="1"/>
  <c r="CM75" i="1"/>
  <c r="G76" i="1"/>
  <c r="W76" i="1"/>
  <c r="X76" i="1"/>
  <c r="Y76" i="1"/>
  <c r="BL76" i="1"/>
  <c r="CM76" i="1"/>
  <c r="G77" i="1"/>
  <c r="W77" i="1"/>
  <c r="X77" i="1"/>
  <c r="Y77" i="1"/>
  <c r="BL77" i="1"/>
  <c r="CM77" i="1"/>
  <c r="G78" i="1"/>
  <c r="W78" i="1"/>
  <c r="X78" i="1"/>
  <c r="Y78" i="1"/>
  <c r="BL78" i="1"/>
  <c r="CM78" i="1"/>
  <c r="G79" i="1"/>
  <c r="W79" i="1"/>
  <c r="X79" i="1"/>
  <c r="Y79" i="1"/>
  <c r="BL79" i="1"/>
  <c r="CM79" i="1"/>
  <c r="G80" i="1"/>
  <c r="W80" i="1"/>
  <c r="X80" i="1"/>
  <c r="Y80" i="1"/>
  <c r="BL80" i="1"/>
  <c r="CM80" i="1"/>
  <c r="G81" i="1"/>
  <c r="W81" i="1"/>
  <c r="X81" i="1"/>
  <c r="Y81" i="1"/>
  <c r="BL81" i="1"/>
  <c r="CM81" i="1"/>
  <c r="G82" i="1"/>
  <c r="W82" i="1"/>
  <c r="X82" i="1"/>
  <c r="Y82" i="1"/>
  <c r="BL82" i="1"/>
  <c r="CM82" i="1"/>
  <c r="G83" i="1"/>
  <c r="W83" i="1"/>
  <c r="X83" i="1"/>
  <c r="Y83" i="1"/>
  <c r="BL83" i="1"/>
  <c r="CM83" i="1"/>
  <c r="G84" i="1"/>
  <c r="W84" i="1"/>
  <c r="X84" i="1"/>
  <c r="Y84" i="1"/>
  <c r="BL84" i="1"/>
  <c r="CM84" i="1"/>
  <c r="G85" i="1"/>
  <c r="W85" i="1"/>
  <c r="X85" i="1"/>
  <c r="Y85" i="1"/>
  <c r="BL85" i="1"/>
  <c r="CM85" i="1"/>
  <c r="G86" i="1"/>
  <c r="W86" i="1"/>
  <c r="X86" i="1"/>
  <c r="Y86" i="1"/>
  <c r="BL86" i="1"/>
  <c r="CM86" i="1"/>
  <c r="G87" i="1"/>
  <c r="W87" i="1"/>
  <c r="X87" i="1"/>
  <c r="Y87" i="1"/>
  <c r="BL87" i="1"/>
  <c r="CM87" i="1"/>
  <c r="G88" i="1"/>
  <c r="W88" i="1"/>
  <c r="X88" i="1"/>
  <c r="Y88" i="1"/>
  <c r="BL88" i="1"/>
  <c r="CM88" i="1"/>
  <c r="G89" i="1"/>
  <c r="W89" i="1"/>
  <c r="X89" i="1"/>
  <c r="Y89" i="1"/>
  <c r="BL89" i="1"/>
  <c r="CM89" i="1"/>
  <c r="G90" i="1"/>
  <c r="W90" i="1"/>
  <c r="X90" i="1"/>
  <c r="Y90" i="1"/>
  <c r="BL90" i="1"/>
  <c r="CM90" i="1"/>
  <c r="G91" i="1"/>
  <c r="W91" i="1"/>
  <c r="X91" i="1"/>
  <c r="Y91" i="1"/>
  <c r="BL91" i="1"/>
  <c r="CM91" i="1"/>
  <c r="G92" i="1"/>
  <c r="W92" i="1"/>
  <c r="X92" i="1"/>
  <c r="Y92" i="1"/>
  <c r="BL92" i="1"/>
  <c r="CM92" i="1"/>
  <c r="G93" i="1"/>
  <c r="W93" i="1"/>
  <c r="X93" i="1"/>
  <c r="Y93" i="1"/>
  <c r="BL93" i="1"/>
  <c r="CM93" i="1"/>
  <c r="G94" i="1"/>
  <c r="W94" i="1"/>
  <c r="X94" i="1"/>
  <c r="Y94" i="1"/>
  <c r="BL94" i="1"/>
  <c r="CM94" i="1"/>
  <c r="G95" i="1"/>
  <c r="W95" i="1"/>
  <c r="X95" i="1"/>
  <c r="Y95" i="1"/>
  <c r="BL95" i="1"/>
  <c r="CM95" i="1"/>
  <c r="G96" i="1"/>
  <c r="W96" i="1"/>
  <c r="X96" i="1"/>
  <c r="Y96" i="1"/>
  <c r="BL96" i="1"/>
  <c r="CM96" i="1"/>
  <c r="G97" i="1"/>
  <c r="W97" i="1"/>
  <c r="X97" i="1"/>
  <c r="Y97" i="1"/>
  <c r="BL97" i="1"/>
  <c r="CM97" i="1"/>
  <c r="G98" i="1"/>
  <c r="W98" i="1"/>
  <c r="X98" i="1"/>
  <c r="Y98" i="1"/>
  <c r="BL98" i="1"/>
  <c r="CM98" i="1"/>
  <c r="G99" i="1"/>
  <c r="W99" i="1"/>
  <c r="X99" i="1"/>
  <c r="Y99" i="1"/>
  <c r="BL99" i="1"/>
  <c r="CM99" i="1"/>
  <c r="G100" i="1"/>
  <c r="W100" i="1"/>
  <c r="X100" i="1"/>
  <c r="Y100" i="1"/>
  <c r="BL100" i="1"/>
  <c r="CM100" i="1"/>
  <c r="G101" i="1"/>
  <c r="W101" i="1"/>
  <c r="X101" i="1"/>
  <c r="Y101" i="1"/>
  <c r="BL101" i="1"/>
  <c r="CM101" i="1"/>
  <c r="G102" i="1"/>
  <c r="W102" i="1"/>
  <c r="X102" i="1"/>
  <c r="Y102" i="1"/>
  <c r="BL102" i="1"/>
  <c r="CM102" i="1"/>
  <c r="G103" i="1"/>
  <c r="W103" i="1"/>
  <c r="X103" i="1"/>
  <c r="Y103" i="1"/>
  <c r="BL103" i="1"/>
  <c r="CM103" i="1"/>
  <c r="G104" i="1"/>
  <c r="W104" i="1"/>
  <c r="X104" i="1"/>
  <c r="Y104" i="1"/>
  <c r="BL104" i="1"/>
  <c r="CM104" i="1"/>
  <c r="G105" i="1"/>
  <c r="W105" i="1"/>
  <c r="X105" i="1"/>
  <c r="Y105" i="1"/>
  <c r="BL105" i="1"/>
  <c r="CM105" i="1"/>
  <c r="G106" i="1"/>
  <c r="W106" i="1"/>
  <c r="X106" i="1"/>
  <c r="Y106" i="1"/>
  <c r="BL106" i="1"/>
  <c r="CM106" i="1"/>
  <c r="G107" i="1"/>
  <c r="W107" i="1"/>
  <c r="X107" i="1"/>
  <c r="Y107" i="1"/>
  <c r="BL107" i="1"/>
  <c r="CM107" i="1"/>
  <c r="G108" i="1"/>
  <c r="W108" i="1"/>
  <c r="X108" i="1"/>
  <c r="Y108" i="1"/>
  <c r="BL108" i="1"/>
  <c r="CM108" i="1"/>
  <c r="G109" i="1"/>
  <c r="W109" i="1"/>
  <c r="X109" i="1"/>
  <c r="Y109" i="1"/>
  <c r="BL109" i="1"/>
  <c r="CM109" i="1"/>
  <c r="G110" i="1"/>
  <c r="W110" i="1"/>
  <c r="X110" i="1"/>
  <c r="Y110" i="1"/>
  <c r="BL110" i="1"/>
  <c r="CM110" i="1"/>
  <c r="G111" i="1"/>
  <c r="W111" i="1"/>
  <c r="X111" i="1"/>
  <c r="Y111" i="1"/>
  <c r="BL111" i="1"/>
  <c r="CM111" i="1"/>
  <c r="G112" i="1"/>
  <c r="W112" i="1"/>
  <c r="X112" i="1"/>
  <c r="Y112" i="1"/>
  <c r="BL112" i="1"/>
  <c r="CM112" i="1"/>
  <c r="G113" i="1"/>
  <c r="W113" i="1"/>
  <c r="X113" i="1"/>
  <c r="Y113" i="1"/>
  <c r="BL113" i="1"/>
  <c r="CM113" i="1"/>
  <c r="G114" i="1"/>
  <c r="W114" i="1"/>
  <c r="X114" i="1"/>
  <c r="Y114" i="1"/>
  <c r="BL114" i="1"/>
  <c r="CM114" i="1"/>
  <c r="G115" i="1"/>
  <c r="W115" i="1"/>
  <c r="X115" i="1"/>
  <c r="Y115" i="1"/>
  <c r="BL115" i="1"/>
  <c r="CM115" i="1"/>
  <c r="G116" i="1"/>
  <c r="W116" i="1"/>
  <c r="X116" i="1"/>
  <c r="Y116" i="1"/>
  <c r="BL116" i="1"/>
  <c r="CM116" i="1"/>
  <c r="G117" i="1"/>
  <c r="W117" i="1"/>
  <c r="X117" i="1"/>
  <c r="Y117" i="1"/>
  <c r="BL117" i="1"/>
  <c r="CM117" i="1"/>
  <c r="G118" i="1"/>
  <c r="W118" i="1"/>
  <c r="X118" i="1"/>
  <c r="Y118" i="1"/>
  <c r="BL118" i="1"/>
  <c r="CM118" i="1"/>
  <c r="G119" i="1"/>
  <c r="W119" i="1"/>
  <c r="X119" i="1"/>
  <c r="Y119" i="1"/>
  <c r="BL119" i="1"/>
  <c r="CM119" i="1"/>
  <c r="G120" i="1"/>
  <c r="W120" i="1"/>
  <c r="X120" i="1"/>
  <c r="Y120" i="1"/>
  <c r="BL120" i="1"/>
  <c r="CM120" i="1"/>
  <c r="G121" i="1"/>
  <c r="W121" i="1"/>
  <c r="X121" i="1"/>
  <c r="Y121" i="1"/>
  <c r="BL121" i="1"/>
  <c r="CM121" i="1"/>
  <c r="G122" i="1"/>
  <c r="W122" i="1"/>
  <c r="X122" i="1"/>
  <c r="Y122" i="1"/>
  <c r="BL122" i="1"/>
  <c r="CM122" i="1"/>
  <c r="G123" i="1"/>
  <c r="W123" i="1"/>
  <c r="X123" i="1"/>
  <c r="Y123" i="1"/>
  <c r="BL123" i="1"/>
  <c r="CM123" i="1"/>
  <c r="G124" i="1"/>
  <c r="W124" i="1"/>
  <c r="X124" i="1"/>
  <c r="Y124" i="1"/>
  <c r="BL124" i="1"/>
  <c r="CM124" i="1"/>
  <c r="G125" i="1"/>
  <c r="W125" i="1"/>
  <c r="X125" i="1"/>
  <c r="Y125" i="1"/>
  <c r="BL125" i="1"/>
  <c r="CM125" i="1"/>
  <c r="G126" i="1"/>
  <c r="W126" i="1"/>
  <c r="X126" i="1"/>
  <c r="Y126" i="1"/>
  <c r="BL126" i="1"/>
  <c r="CM126" i="1"/>
  <c r="G127" i="1"/>
  <c r="W127" i="1"/>
  <c r="X127" i="1"/>
  <c r="Y127" i="1"/>
  <c r="BL127" i="1"/>
  <c r="CM127" i="1"/>
  <c r="G128" i="1"/>
  <c r="W128" i="1"/>
  <c r="X128" i="1"/>
  <c r="Y128" i="1"/>
  <c r="BL128" i="1"/>
  <c r="CM128" i="1"/>
  <c r="G129" i="1"/>
  <c r="W129" i="1"/>
  <c r="X129" i="1"/>
  <c r="Y129" i="1"/>
  <c r="BL129" i="1"/>
  <c r="CM129" i="1"/>
  <c r="G130" i="1"/>
  <c r="W130" i="1"/>
  <c r="X130" i="1"/>
  <c r="Y130" i="1"/>
  <c r="BL130" i="1"/>
  <c r="CM130" i="1"/>
  <c r="G131" i="1"/>
  <c r="W131" i="1"/>
  <c r="X131" i="1"/>
  <c r="Y131" i="1"/>
  <c r="BL131" i="1"/>
  <c r="CM131" i="1"/>
  <c r="G132" i="1"/>
  <c r="W132" i="1"/>
  <c r="X132" i="1"/>
  <c r="Y132" i="1"/>
  <c r="BL132" i="1"/>
  <c r="CM132" i="1"/>
  <c r="G133" i="1"/>
  <c r="W133" i="1"/>
  <c r="X133" i="1"/>
  <c r="Y133" i="1"/>
  <c r="BL133" i="1"/>
  <c r="CM133" i="1"/>
  <c r="G134" i="1"/>
  <c r="W134" i="1"/>
  <c r="X134" i="1"/>
  <c r="Y134" i="1"/>
  <c r="BL134" i="1"/>
  <c r="CM134" i="1"/>
  <c r="G135" i="1"/>
  <c r="W135" i="1"/>
  <c r="X135" i="1"/>
  <c r="Y135" i="1"/>
  <c r="BL135" i="1"/>
  <c r="CM135" i="1"/>
  <c r="G136" i="1"/>
  <c r="W136" i="1"/>
  <c r="X136" i="1"/>
  <c r="Y136" i="1"/>
  <c r="BL136" i="1"/>
  <c r="CM136" i="1"/>
  <c r="G137" i="1"/>
  <c r="W137" i="1"/>
  <c r="X137" i="1"/>
  <c r="Y137" i="1"/>
  <c r="BL137" i="1"/>
  <c r="CM137" i="1"/>
  <c r="G138" i="1"/>
  <c r="W138" i="1"/>
  <c r="X138" i="1"/>
  <c r="Y138" i="1"/>
  <c r="BL138" i="1"/>
  <c r="CM138" i="1"/>
  <c r="G139" i="1"/>
  <c r="W139" i="1"/>
  <c r="X139" i="1"/>
  <c r="Y139" i="1"/>
  <c r="BL139" i="1"/>
  <c r="CM139" i="1"/>
  <c r="G140" i="1"/>
  <c r="W140" i="1"/>
  <c r="X140" i="1"/>
  <c r="Y140" i="1"/>
  <c r="BL140" i="1"/>
  <c r="CM140" i="1"/>
  <c r="G141" i="1"/>
  <c r="W141" i="1"/>
  <c r="X141" i="1"/>
  <c r="Y141" i="1"/>
  <c r="BL141" i="1"/>
  <c r="CM141" i="1"/>
  <c r="G142" i="1"/>
  <c r="W142" i="1"/>
  <c r="X142" i="1"/>
  <c r="Y142" i="1"/>
  <c r="BL142" i="1"/>
  <c r="CM142" i="1"/>
  <c r="G143" i="1"/>
  <c r="W143" i="1"/>
  <c r="X143" i="1"/>
  <c r="Y143" i="1"/>
  <c r="BL143" i="1"/>
  <c r="CM143" i="1"/>
  <c r="G144" i="1"/>
  <c r="W144" i="1"/>
  <c r="X144" i="1"/>
  <c r="Y144" i="1"/>
  <c r="BL144" i="1"/>
  <c r="CM144" i="1"/>
  <c r="G145" i="1"/>
  <c r="W145" i="1"/>
  <c r="X145" i="1"/>
  <c r="Y145" i="1"/>
  <c r="BL145" i="1"/>
  <c r="CM145" i="1"/>
  <c r="G146" i="1"/>
  <c r="W146" i="1"/>
  <c r="X146" i="1"/>
  <c r="Y146" i="1"/>
  <c r="BL146" i="1"/>
  <c r="CM146" i="1"/>
  <c r="G147" i="1"/>
  <c r="W147" i="1"/>
  <c r="X147" i="1"/>
  <c r="Y147" i="1"/>
  <c r="BL147" i="1"/>
  <c r="CM147" i="1"/>
  <c r="G148" i="1"/>
  <c r="W148" i="1"/>
  <c r="X148" i="1"/>
  <c r="Y148" i="1"/>
  <c r="BL148" i="1"/>
  <c r="CM148" i="1"/>
  <c r="G149" i="1"/>
  <c r="W149" i="1"/>
  <c r="X149" i="1"/>
  <c r="Y149" i="1"/>
  <c r="BL149" i="1"/>
  <c r="CM149" i="1"/>
  <c r="G150" i="1"/>
  <c r="W150" i="1"/>
  <c r="X150" i="1"/>
  <c r="Y150" i="1"/>
  <c r="BL150" i="1"/>
  <c r="CM150" i="1"/>
  <c r="G151" i="1"/>
  <c r="W151" i="1"/>
  <c r="X151" i="1"/>
  <c r="Y151" i="1"/>
  <c r="BL151" i="1"/>
  <c r="CM151" i="1"/>
  <c r="G152" i="1"/>
  <c r="W152" i="1"/>
  <c r="X152" i="1"/>
  <c r="Y152" i="1"/>
  <c r="BL152" i="1"/>
  <c r="CM152" i="1"/>
  <c r="G153" i="1"/>
  <c r="W153" i="1"/>
  <c r="X153" i="1"/>
  <c r="Y153" i="1"/>
  <c r="BL153" i="1"/>
  <c r="CM153" i="1"/>
  <c r="G154" i="1"/>
  <c r="W154" i="1"/>
  <c r="X154" i="1"/>
  <c r="Y154" i="1"/>
  <c r="BL154" i="1"/>
  <c r="CM154" i="1"/>
  <c r="G155" i="1"/>
  <c r="W155" i="1"/>
  <c r="X155" i="1"/>
  <c r="Y155" i="1"/>
  <c r="BL155" i="1"/>
  <c r="CM155" i="1"/>
  <c r="G156" i="1"/>
  <c r="W156" i="1"/>
  <c r="X156" i="1"/>
  <c r="Y156" i="1"/>
  <c r="BL156" i="1"/>
  <c r="CM156" i="1"/>
  <c r="G157" i="1"/>
  <c r="W157" i="1"/>
  <c r="X157" i="1"/>
  <c r="Y157" i="1"/>
  <c r="BL157" i="1"/>
  <c r="CM157" i="1"/>
  <c r="G158" i="1"/>
  <c r="W158" i="1"/>
  <c r="X158" i="1"/>
  <c r="Y158" i="1"/>
  <c r="BL158" i="1"/>
  <c r="CM158" i="1"/>
  <c r="G159" i="1"/>
  <c r="W159" i="1"/>
  <c r="X159" i="1"/>
  <c r="Y159" i="1"/>
  <c r="BL159" i="1"/>
  <c r="CM159" i="1"/>
  <c r="G160" i="1"/>
  <c r="W160" i="1"/>
  <c r="X160" i="1"/>
  <c r="Y160" i="1"/>
  <c r="BL160" i="1"/>
  <c r="CM160" i="1"/>
  <c r="G161" i="1"/>
  <c r="W161" i="1"/>
  <c r="X161" i="1"/>
  <c r="Y161" i="1"/>
  <c r="BL161" i="1"/>
  <c r="CM161" i="1"/>
  <c r="G162" i="1"/>
  <c r="W162" i="1"/>
  <c r="X162" i="1"/>
  <c r="Y162" i="1"/>
  <c r="BL162" i="1"/>
  <c r="CM162" i="1"/>
  <c r="G163" i="1"/>
  <c r="W163" i="1"/>
  <c r="X163" i="1"/>
  <c r="Y163" i="1"/>
  <c r="BL163" i="1"/>
  <c r="CM163" i="1"/>
  <c r="G164" i="1"/>
  <c r="W164" i="1"/>
  <c r="X164" i="1"/>
  <c r="Y164" i="1"/>
  <c r="BL164" i="1"/>
  <c r="CM164" i="1"/>
  <c r="G165" i="1"/>
  <c r="W165" i="1"/>
  <c r="X165" i="1"/>
  <c r="Y165" i="1"/>
  <c r="BL165" i="1"/>
  <c r="CM165" i="1"/>
  <c r="G166" i="1"/>
  <c r="W166" i="1"/>
  <c r="X166" i="1"/>
  <c r="Y166" i="1"/>
  <c r="BL166" i="1"/>
  <c r="CM166" i="1"/>
  <c r="G167" i="1"/>
  <c r="W167" i="1"/>
  <c r="X167" i="1"/>
  <c r="Y167" i="1"/>
  <c r="BL167" i="1"/>
  <c r="CM167" i="1"/>
  <c r="G168" i="1"/>
  <c r="W168" i="1"/>
  <c r="X168" i="1"/>
  <c r="Y168" i="1"/>
  <c r="BL168" i="1"/>
  <c r="CM168" i="1"/>
  <c r="G169" i="1"/>
  <c r="W169" i="1"/>
  <c r="X169" i="1"/>
  <c r="Y169" i="1"/>
  <c r="BL169" i="1"/>
  <c r="CM169" i="1"/>
  <c r="G170" i="1"/>
  <c r="W170" i="1"/>
  <c r="X170" i="1"/>
  <c r="Y170" i="1"/>
  <c r="BL170" i="1"/>
  <c r="CM170" i="1"/>
  <c r="G171" i="1"/>
  <c r="W171" i="1"/>
  <c r="X171" i="1"/>
  <c r="Y171" i="1"/>
  <c r="BL171" i="1"/>
  <c r="CM171" i="1"/>
  <c r="G172" i="1"/>
  <c r="W172" i="1"/>
  <c r="X172" i="1"/>
  <c r="Y172" i="1"/>
  <c r="BL172" i="1"/>
  <c r="CM172" i="1"/>
  <c r="G173" i="1"/>
  <c r="W173" i="1"/>
  <c r="X173" i="1"/>
  <c r="Y173" i="1"/>
  <c r="BL173" i="1"/>
  <c r="CM173" i="1"/>
  <c r="G174" i="1"/>
  <c r="W174" i="1"/>
  <c r="X174" i="1"/>
  <c r="Y174" i="1"/>
  <c r="BL174" i="1"/>
  <c r="CM174" i="1"/>
  <c r="G175" i="1"/>
  <c r="W175" i="1"/>
  <c r="X175" i="1"/>
  <c r="Y175" i="1"/>
  <c r="BL175" i="1"/>
  <c r="CM175" i="1"/>
  <c r="G176" i="1"/>
  <c r="W176" i="1"/>
  <c r="X176" i="1"/>
  <c r="Y176" i="1"/>
  <c r="BL176" i="1"/>
  <c r="CM176" i="1"/>
  <c r="G177" i="1"/>
  <c r="W177" i="1"/>
  <c r="X177" i="1"/>
  <c r="Y177" i="1"/>
  <c r="BL177" i="1"/>
  <c r="CM177" i="1"/>
  <c r="G178" i="1"/>
  <c r="W178" i="1"/>
  <c r="X178" i="1"/>
  <c r="Y178" i="1"/>
  <c r="BL178" i="1"/>
  <c r="CM178" i="1"/>
  <c r="G179" i="1"/>
  <c r="W179" i="1"/>
  <c r="X179" i="1"/>
  <c r="Y179" i="1"/>
  <c r="BL179" i="1"/>
  <c r="CM179" i="1"/>
  <c r="G180" i="1"/>
  <c r="W180" i="1"/>
  <c r="X180" i="1"/>
  <c r="Y180" i="1"/>
  <c r="BL180" i="1"/>
  <c r="CM180" i="1"/>
  <c r="G181" i="1"/>
  <c r="W181" i="1"/>
  <c r="X181" i="1"/>
  <c r="Y181" i="1"/>
  <c r="BL181" i="1"/>
  <c r="CM181" i="1"/>
  <c r="G182" i="1"/>
  <c r="W182" i="1"/>
  <c r="X182" i="1"/>
  <c r="Y182" i="1"/>
  <c r="BL182" i="1"/>
  <c r="CM182" i="1"/>
  <c r="G183" i="1"/>
  <c r="W183" i="1"/>
  <c r="X183" i="1"/>
  <c r="Y183" i="1"/>
  <c r="BL183" i="1"/>
  <c r="CM183" i="1"/>
  <c r="G184" i="1"/>
  <c r="W184" i="1"/>
  <c r="X184" i="1"/>
  <c r="Y184" i="1"/>
  <c r="BL184" i="1"/>
  <c r="CM184" i="1"/>
  <c r="G185" i="1"/>
  <c r="W185" i="1"/>
  <c r="X185" i="1"/>
  <c r="Y185" i="1"/>
  <c r="BL185" i="1"/>
  <c r="CM185" i="1"/>
  <c r="G186" i="1"/>
  <c r="W186" i="1"/>
  <c r="X186" i="1"/>
  <c r="Y186" i="1"/>
  <c r="BL186" i="1"/>
  <c r="CM186" i="1"/>
  <c r="G187" i="1"/>
  <c r="W187" i="1"/>
  <c r="X187" i="1"/>
  <c r="Y187" i="1"/>
  <c r="BL187" i="1"/>
  <c r="CM187" i="1"/>
  <c r="G188" i="1"/>
  <c r="W188" i="1"/>
  <c r="X188" i="1"/>
  <c r="Y188" i="1"/>
  <c r="BL188" i="1"/>
  <c r="CM188" i="1"/>
  <c r="G189" i="1"/>
  <c r="W189" i="1"/>
  <c r="X189" i="1"/>
  <c r="Y189" i="1"/>
  <c r="BL189" i="1"/>
  <c r="CM189" i="1"/>
  <c r="G190" i="1"/>
  <c r="W190" i="1"/>
  <c r="X190" i="1"/>
  <c r="Y190" i="1"/>
  <c r="BL190" i="1"/>
  <c r="CM190" i="1"/>
  <c r="G191" i="1"/>
  <c r="W191" i="1"/>
  <c r="X191" i="1"/>
  <c r="Y191" i="1"/>
  <c r="BL191" i="1"/>
  <c r="CM191" i="1"/>
  <c r="G192" i="1"/>
  <c r="W192" i="1"/>
  <c r="X192" i="1"/>
  <c r="Y192" i="1"/>
  <c r="BL192" i="1"/>
  <c r="CM192" i="1"/>
  <c r="G193" i="1"/>
  <c r="W193" i="1"/>
  <c r="X193" i="1"/>
  <c r="Y193" i="1"/>
  <c r="BL193" i="1"/>
  <c r="CM193" i="1"/>
  <c r="G194" i="1"/>
  <c r="W194" i="1"/>
  <c r="X194" i="1"/>
  <c r="Y194" i="1"/>
  <c r="BL194" i="1"/>
  <c r="CM194" i="1"/>
  <c r="G195" i="1"/>
  <c r="W195" i="1"/>
  <c r="X195" i="1"/>
  <c r="Y195" i="1"/>
  <c r="BL195" i="1"/>
  <c r="CM195" i="1"/>
  <c r="G196" i="1"/>
  <c r="W196" i="1"/>
  <c r="X196" i="1"/>
  <c r="Y196" i="1"/>
  <c r="BL196" i="1"/>
  <c r="CM196" i="1"/>
  <c r="G197" i="1"/>
  <c r="W197" i="1"/>
  <c r="X197" i="1"/>
  <c r="Y197" i="1"/>
  <c r="BL197" i="1"/>
  <c r="CM197" i="1"/>
  <c r="G198" i="1"/>
  <c r="W198" i="1"/>
  <c r="X198" i="1"/>
  <c r="Y198" i="1"/>
  <c r="BL198" i="1"/>
  <c r="CM198" i="1"/>
  <c r="G199" i="1"/>
  <c r="W199" i="1"/>
  <c r="X199" i="1"/>
  <c r="Y199" i="1"/>
  <c r="BL199" i="1"/>
  <c r="CM199" i="1"/>
  <c r="G200" i="1"/>
  <c r="W200" i="1"/>
  <c r="X200" i="1"/>
  <c r="Y200" i="1"/>
  <c r="BL200" i="1"/>
  <c r="CM200" i="1"/>
  <c r="G201" i="1"/>
  <c r="W201" i="1"/>
  <c r="X201" i="1"/>
  <c r="Y201" i="1"/>
  <c r="BL201" i="1"/>
  <c r="CM201" i="1"/>
  <c r="G202" i="1"/>
  <c r="W202" i="1"/>
  <c r="X202" i="1"/>
  <c r="Y202" i="1"/>
  <c r="BL202" i="1"/>
  <c r="CM202" i="1"/>
  <c r="G203" i="1"/>
  <c r="W203" i="1"/>
  <c r="X203" i="1"/>
  <c r="Y203" i="1"/>
  <c r="BL203" i="1"/>
  <c r="CM203" i="1"/>
  <c r="G204" i="1"/>
  <c r="W204" i="1"/>
  <c r="X204" i="1"/>
  <c r="Y204" i="1"/>
  <c r="BL204" i="1"/>
  <c r="CM204" i="1"/>
  <c r="G205" i="1"/>
  <c r="W205" i="1"/>
  <c r="X205" i="1"/>
  <c r="Y205" i="1"/>
  <c r="BL205" i="1"/>
  <c r="CM205" i="1"/>
  <c r="G206" i="1"/>
  <c r="W206" i="1"/>
  <c r="X206" i="1"/>
  <c r="Y206" i="1"/>
  <c r="BL206" i="1"/>
  <c r="CM206" i="1"/>
  <c r="G207" i="1"/>
  <c r="W207" i="1"/>
  <c r="X207" i="1"/>
  <c r="Y207" i="1"/>
  <c r="BL207" i="1"/>
  <c r="CM207" i="1"/>
  <c r="G208" i="1"/>
  <c r="W208" i="1"/>
  <c r="X208" i="1"/>
  <c r="Y208" i="1"/>
  <c r="BL208" i="1"/>
  <c r="CM208" i="1"/>
  <c r="G209" i="1"/>
  <c r="W209" i="1"/>
  <c r="X209" i="1"/>
  <c r="Y209" i="1"/>
  <c r="BL209" i="1"/>
  <c r="CM209" i="1"/>
  <c r="G210" i="1"/>
  <c r="W210" i="1"/>
  <c r="X210" i="1"/>
  <c r="Y210" i="1"/>
  <c r="BL210" i="1"/>
  <c r="CM210" i="1"/>
  <c r="G211" i="1"/>
  <c r="W211" i="1"/>
  <c r="X211" i="1"/>
  <c r="Y211" i="1"/>
  <c r="BL211" i="1"/>
  <c r="CM211" i="1"/>
  <c r="G212" i="1"/>
  <c r="W212" i="1"/>
  <c r="X212" i="1"/>
  <c r="Y212" i="1"/>
  <c r="BL212" i="1"/>
  <c r="CM212" i="1"/>
  <c r="G213" i="1"/>
  <c r="W213" i="1"/>
  <c r="X213" i="1"/>
  <c r="Y213" i="1"/>
  <c r="BL213" i="1"/>
  <c r="CM213" i="1"/>
  <c r="G214" i="1"/>
  <c r="W214" i="1"/>
  <c r="X214" i="1"/>
  <c r="Y214" i="1"/>
  <c r="BL214" i="1"/>
  <c r="CM214" i="1"/>
  <c r="G215" i="1"/>
  <c r="W215" i="1"/>
  <c r="X215" i="1"/>
  <c r="Y215" i="1"/>
  <c r="BL215" i="1"/>
  <c r="CM215" i="1"/>
  <c r="G216" i="1"/>
  <c r="W216" i="1"/>
  <c r="X216" i="1"/>
  <c r="Y216" i="1"/>
  <c r="BL216" i="1"/>
  <c r="CM216" i="1"/>
  <c r="G217" i="1"/>
  <c r="W217" i="1"/>
  <c r="X217" i="1"/>
  <c r="Y217" i="1"/>
  <c r="BL217" i="1"/>
  <c r="CM217" i="1"/>
  <c r="G218" i="1"/>
  <c r="W218" i="1"/>
  <c r="X218" i="1"/>
  <c r="Y218" i="1"/>
  <c r="BL218" i="1"/>
  <c r="CM218" i="1"/>
  <c r="G219" i="1"/>
  <c r="W219" i="1"/>
  <c r="X219" i="1"/>
  <c r="Y219" i="1"/>
  <c r="BL219" i="1"/>
  <c r="CM219" i="1"/>
  <c r="G220" i="1"/>
  <c r="W220" i="1"/>
  <c r="X220" i="1"/>
  <c r="Y220" i="1"/>
  <c r="BL220" i="1"/>
  <c r="CM220" i="1"/>
  <c r="G221" i="1"/>
  <c r="W221" i="1"/>
  <c r="X221" i="1"/>
  <c r="Y221" i="1"/>
  <c r="BL221" i="1"/>
  <c r="CM221" i="1"/>
  <c r="G222" i="1"/>
  <c r="W222" i="1"/>
  <c r="X222" i="1"/>
  <c r="Y222" i="1"/>
  <c r="BL222" i="1"/>
  <c r="CM222" i="1"/>
  <c r="G223" i="1"/>
  <c r="W223" i="1"/>
  <c r="X223" i="1"/>
  <c r="Y223" i="1"/>
  <c r="BL223" i="1"/>
  <c r="CM223" i="1"/>
  <c r="G224" i="1"/>
  <c r="W224" i="1"/>
  <c r="X224" i="1"/>
  <c r="Y224" i="1"/>
  <c r="BL224" i="1"/>
  <c r="CM224" i="1"/>
  <c r="G225" i="1"/>
  <c r="W225" i="1"/>
  <c r="X225" i="1"/>
  <c r="Y225" i="1"/>
  <c r="BL225" i="1"/>
  <c r="CM225" i="1"/>
  <c r="G226" i="1"/>
  <c r="W226" i="1"/>
  <c r="X226" i="1"/>
  <c r="Y226" i="1"/>
  <c r="BL226" i="1"/>
  <c r="CM226" i="1"/>
  <c r="G227" i="1"/>
  <c r="W227" i="1"/>
  <c r="X227" i="1"/>
  <c r="Y227" i="1"/>
  <c r="BL227" i="1"/>
  <c r="CM227" i="1"/>
  <c r="G228" i="1"/>
  <c r="W228" i="1"/>
  <c r="X228" i="1"/>
  <c r="Y228" i="1"/>
  <c r="BL228" i="1"/>
  <c r="CM228" i="1"/>
  <c r="G229" i="1"/>
  <c r="W229" i="1"/>
  <c r="X229" i="1"/>
  <c r="Y229" i="1"/>
  <c r="BL229" i="1"/>
  <c r="CM229" i="1"/>
  <c r="G230" i="1"/>
  <c r="W230" i="1"/>
  <c r="X230" i="1"/>
  <c r="Y230" i="1"/>
  <c r="BL230" i="1"/>
  <c r="CM230" i="1"/>
  <c r="G231" i="1"/>
  <c r="W231" i="1"/>
  <c r="X231" i="1"/>
  <c r="Y231" i="1"/>
  <c r="BL231" i="1"/>
  <c r="CM231" i="1"/>
  <c r="G232" i="1"/>
  <c r="W232" i="1"/>
  <c r="X232" i="1"/>
  <c r="Y232" i="1"/>
  <c r="BL232" i="1"/>
  <c r="CM232" i="1"/>
  <c r="G233" i="1"/>
  <c r="W233" i="1"/>
  <c r="X233" i="1"/>
  <c r="Y233" i="1"/>
  <c r="BL233" i="1"/>
  <c r="CM233" i="1"/>
  <c r="G234" i="1"/>
  <c r="W234" i="1"/>
  <c r="X234" i="1"/>
  <c r="Y234" i="1"/>
  <c r="BL234" i="1"/>
  <c r="CM234" i="1"/>
  <c r="G235" i="1"/>
  <c r="W235" i="1"/>
  <c r="X235" i="1"/>
  <c r="Y235" i="1"/>
  <c r="BL235" i="1"/>
  <c r="CM235" i="1"/>
  <c r="G236" i="1"/>
  <c r="W236" i="1"/>
  <c r="X236" i="1"/>
  <c r="Y236" i="1"/>
  <c r="BL236" i="1"/>
  <c r="CM236" i="1"/>
  <c r="G237" i="1"/>
  <c r="W237" i="1"/>
  <c r="X237" i="1"/>
  <c r="Y237" i="1"/>
  <c r="BL237" i="1"/>
  <c r="CM237" i="1"/>
  <c r="G238" i="1"/>
  <c r="W238" i="1"/>
  <c r="X238" i="1"/>
  <c r="Y238" i="1"/>
  <c r="BL238" i="1"/>
  <c r="CM238" i="1"/>
  <c r="G239" i="1"/>
  <c r="W239" i="1"/>
  <c r="X239" i="1"/>
  <c r="Y239" i="1"/>
  <c r="BL239" i="1"/>
  <c r="CM239" i="1"/>
  <c r="G240" i="1"/>
  <c r="W240" i="1"/>
  <c r="X240" i="1"/>
  <c r="Y240" i="1"/>
  <c r="BL240" i="1"/>
  <c r="CM240" i="1"/>
  <c r="G241" i="1"/>
  <c r="W241" i="1"/>
  <c r="X241" i="1"/>
  <c r="Y241" i="1"/>
  <c r="BL241" i="1"/>
  <c r="CM241" i="1"/>
  <c r="G242" i="1"/>
  <c r="W242" i="1"/>
  <c r="X242" i="1"/>
  <c r="Y242" i="1"/>
  <c r="BL242" i="1"/>
  <c r="CM242" i="1"/>
  <c r="G243" i="1"/>
  <c r="W243" i="1"/>
  <c r="X243" i="1"/>
  <c r="Y243" i="1"/>
  <c r="BL243" i="1"/>
  <c r="CM243" i="1"/>
  <c r="G244" i="1"/>
  <c r="W244" i="1"/>
  <c r="X244" i="1"/>
  <c r="Y244" i="1"/>
  <c r="BL244" i="1"/>
  <c r="CM244" i="1"/>
  <c r="G245" i="1"/>
  <c r="W245" i="1"/>
  <c r="X245" i="1"/>
  <c r="Y245" i="1"/>
  <c r="BL245" i="1"/>
  <c r="CM245" i="1"/>
  <c r="G246" i="1"/>
  <c r="W246" i="1"/>
  <c r="X246" i="1"/>
  <c r="Y246" i="1"/>
  <c r="BL246" i="1"/>
  <c r="CM246" i="1"/>
  <c r="G247" i="1"/>
  <c r="W247" i="1"/>
  <c r="X247" i="1"/>
  <c r="Y247" i="1"/>
  <c r="BL247" i="1"/>
  <c r="CM247" i="1"/>
  <c r="G248" i="1"/>
  <c r="W248" i="1"/>
  <c r="X248" i="1"/>
  <c r="Y248" i="1"/>
  <c r="BL248" i="1"/>
  <c r="CM248" i="1"/>
  <c r="G249" i="1"/>
  <c r="W249" i="1"/>
  <c r="X249" i="1"/>
  <c r="Y249" i="1"/>
  <c r="BL249" i="1"/>
  <c r="CM249" i="1"/>
  <c r="G250" i="1"/>
  <c r="W250" i="1"/>
  <c r="X250" i="1"/>
  <c r="Y250" i="1"/>
  <c r="BL250" i="1"/>
  <c r="CM250" i="1"/>
  <c r="G251" i="1"/>
  <c r="W251" i="1"/>
  <c r="X251" i="1"/>
  <c r="Y251" i="1"/>
  <c r="BL251" i="1"/>
  <c r="CM251" i="1"/>
  <c r="G252" i="1"/>
  <c r="W252" i="1"/>
  <c r="X252" i="1"/>
  <c r="Y252" i="1"/>
  <c r="BL252" i="1"/>
  <c r="CM252" i="1"/>
  <c r="G253" i="1"/>
  <c r="W253" i="1"/>
  <c r="X253" i="1"/>
  <c r="Y253" i="1"/>
  <c r="BL253" i="1"/>
  <c r="CM253" i="1"/>
  <c r="G254" i="1"/>
  <c r="W254" i="1"/>
  <c r="X254" i="1"/>
  <c r="Y254" i="1"/>
  <c r="BL254" i="1"/>
  <c r="CM254" i="1"/>
  <c r="G255" i="1"/>
  <c r="W255" i="1"/>
  <c r="X255" i="1"/>
  <c r="Y255" i="1"/>
  <c r="BL255" i="1"/>
  <c r="CM255" i="1"/>
  <c r="G256" i="1"/>
  <c r="W256" i="1"/>
  <c r="X256" i="1"/>
  <c r="Y256" i="1"/>
  <c r="BL256" i="1"/>
  <c r="CM256" i="1"/>
  <c r="G257" i="1"/>
  <c r="W257" i="1"/>
  <c r="X257" i="1"/>
  <c r="Y257" i="1"/>
  <c r="BL257" i="1"/>
  <c r="CM257" i="1"/>
  <c r="G258" i="1"/>
  <c r="W258" i="1"/>
  <c r="X258" i="1"/>
  <c r="Y258" i="1"/>
  <c r="BL258" i="1"/>
  <c r="CM258" i="1"/>
  <c r="G259" i="1"/>
  <c r="W259" i="1"/>
  <c r="X259" i="1"/>
  <c r="Y259" i="1"/>
  <c r="BL259" i="1"/>
  <c r="CM259" i="1"/>
  <c r="G260" i="1"/>
  <c r="W260" i="1"/>
  <c r="X260" i="1"/>
  <c r="Y260" i="1"/>
  <c r="BL260" i="1"/>
  <c r="CM260" i="1"/>
  <c r="G261" i="1"/>
  <c r="W261" i="1"/>
  <c r="X261" i="1"/>
  <c r="Y261" i="1"/>
  <c r="BL261" i="1"/>
  <c r="CM261" i="1"/>
  <c r="G262" i="1"/>
  <c r="W262" i="1"/>
  <c r="X262" i="1"/>
  <c r="Y262" i="1"/>
  <c r="BL262" i="1"/>
  <c r="CM262" i="1"/>
  <c r="G263" i="1"/>
  <c r="W263" i="1"/>
  <c r="X263" i="1"/>
  <c r="Y263" i="1"/>
  <c r="BL263" i="1"/>
  <c r="CM263" i="1"/>
  <c r="G264" i="1"/>
  <c r="W264" i="1"/>
  <c r="X264" i="1"/>
  <c r="Y264" i="1"/>
  <c r="BL264" i="1"/>
  <c r="CM264" i="1"/>
  <c r="G265" i="1"/>
  <c r="W265" i="1"/>
  <c r="X265" i="1"/>
  <c r="Y265" i="1"/>
  <c r="BL265" i="1"/>
  <c r="CM265" i="1"/>
  <c r="G266" i="1"/>
  <c r="W266" i="1"/>
  <c r="X266" i="1"/>
  <c r="Y266" i="1"/>
  <c r="BL266" i="1"/>
  <c r="CM266" i="1"/>
  <c r="G267" i="1"/>
  <c r="W267" i="1"/>
  <c r="X267" i="1"/>
  <c r="Y267" i="1"/>
  <c r="BL267" i="1"/>
  <c r="CM267" i="1"/>
  <c r="G268" i="1"/>
  <c r="W268" i="1"/>
  <c r="X268" i="1"/>
  <c r="Y268" i="1"/>
  <c r="BL268" i="1"/>
  <c r="CM268" i="1"/>
  <c r="G269" i="1"/>
  <c r="W269" i="1"/>
  <c r="X269" i="1"/>
  <c r="Y269" i="1"/>
  <c r="BL269" i="1"/>
  <c r="CM269" i="1"/>
  <c r="G270" i="1"/>
  <c r="W270" i="1"/>
  <c r="X270" i="1"/>
  <c r="Y270" i="1"/>
  <c r="BL270" i="1"/>
  <c r="CM270" i="1"/>
  <c r="G271" i="1"/>
  <c r="W271" i="1"/>
  <c r="X271" i="1"/>
  <c r="Y271" i="1"/>
  <c r="BL271" i="1"/>
  <c r="CM271" i="1"/>
  <c r="G272" i="1"/>
  <c r="W272" i="1"/>
  <c r="X272" i="1"/>
  <c r="Y272" i="1"/>
  <c r="BL272" i="1"/>
  <c r="CM272" i="1"/>
  <c r="G273" i="1"/>
  <c r="W273" i="1"/>
  <c r="X273" i="1"/>
  <c r="Y273" i="1"/>
  <c r="BL273" i="1"/>
  <c r="CM273" i="1"/>
  <c r="G274" i="1"/>
  <c r="W274" i="1"/>
  <c r="X274" i="1"/>
  <c r="Y274" i="1"/>
  <c r="BL274" i="1"/>
  <c r="CM274" i="1"/>
  <c r="G275" i="1"/>
  <c r="W275" i="1"/>
  <c r="X275" i="1"/>
  <c r="Y275" i="1"/>
  <c r="BL275" i="1"/>
  <c r="CM275" i="1"/>
  <c r="G276" i="1"/>
  <c r="W276" i="1"/>
  <c r="X276" i="1"/>
  <c r="Y276" i="1"/>
  <c r="BL276" i="1"/>
  <c r="CM276" i="1"/>
  <c r="G277" i="1"/>
  <c r="W277" i="1"/>
  <c r="X277" i="1"/>
  <c r="Y277" i="1"/>
  <c r="BL277" i="1"/>
  <c r="CM277" i="1"/>
  <c r="G278" i="1"/>
  <c r="W278" i="1"/>
  <c r="X278" i="1"/>
  <c r="Y278" i="1"/>
  <c r="BL278" i="1"/>
  <c r="CM278" i="1"/>
  <c r="G279" i="1"/>
  <c r="W279" i="1"/>
  <c r="X279" i="1"/>
  <c r="Y279" i="1"/>
  <c r="BL279" i="1"/>
  <c r="CM279" i="1"/>
  <c r="G280" i="1"/>
  <c r="W280" i="1"/>
  <c r="X280" i="1"/>
  <c r="Y280" i="1"/>
  <c r="BL280" i="1"/>
  <c r="CM280" i="1"/>
  <c r="G281" i="1"/>
  <c r="W281" i="1"/>
  <c r="X281" i="1"/>
  <c r="Y281" i="1"/>
  <c r="BL281" i="1"/>
  <c r="CM281" i="1"/>
  <c r="G282" i="1"/>
  <c r="W282" i="1"/>
  <c r="X282" i="1"/>
  <c r="Y282" i="1"/>
  <c r="BL282" i="1"/>
  <c r="CM282" i="1"/>
  <c r="G283" i="1"/>
  <c r="W283" i="1"/>
  <c r="X283" i="1"/>
  <c r="Y283" i="1"/>
  <c r="BL283" i="1"/>
  <c r="CM283" i="1"/>
  <c r="G284" i="1"/>
  <c r="W284" i="1"/>
  <c r="X284" i="1"/>
  <c r="Y284" i="1"/>
  <c r="BL284" i="1"/>
  <c r="CM284" i="1"/>
  <c r="G285" i="1"/>
  <c r="W285" i="1"/>
  <c r="X285" i="1"/>
  <c r="Y285" i="1"/>
  <c r="BL285" i="1"/>
  <c r="CM285" i="1"/>
  <c r="G286" i="1"/>
  <c r="W286" i="1"/>
  <c r="X286" i="1"/>
  <c r="Y286" i="1"/>
  <c r="BL286" i="1"/>
  <c r="CM286" i="1"/>
  <c r="G287" i="1"/>
  <c r="W287" i="1"/>
  <c r="X287" i="1"/>
  <c r="Y287" i="1"/>
  <c r="BL287" i="1"/>
  <c r="CM287" i="1"/>
  <c r="G288" i="1"/>
  <c r="W288" i="1"/>
  <c r="X288" i="1"/>
  <c r="Y288" i="1"/>
  <c r="BL288" i="1"/>
  <c r="CM288" i="1"/>
  <c r="G289" i="1"/>
  <c r="W289" i="1"/>
  <c r="X289" i="1"/>
  <c r="Y289" i="1"/>
  <c r="BL289" i="1"/>
  <c r="CM289" i="1"/>
  <c r="G290" i="1"/>
  <c r="W290" i="1"/>
  <c r="X290" i="1"/>
  <c r="Y290" i="1"/>
  <c r="BL290" i="1"/>
  <c r="CM290" i="1"/>
  <c r="G291" i="1"/>
  <c r="W291" i="1"/>
  <c r="X291" i="1"/>
  <c r="Y291" i="1"/>
  <c r="BL291" i="1"/>
  <c r="CM291" i="1"/>
  <c r="G292" i="1"/>
  <c r="W292" i="1"/>
  <c r="X292" i="1"/>
  <c r="Y292" i="1"/>
  <c r="BL292" i="1"/>
  <c r="CM292" i="1"/>
  <c r="G293" i="1"/>
  <c r="W293" i="1"/>
  <c r="X293" i="1"/>
  <c r="Y293" i="1"/>
  <c r="BL293" i="1"/>
  <c r="CM293" i="1"/>
  <c r="G294" i="1"/>
  <c r="W294" i="1"/>
  <c r="X294" i="1"/>
  <c r="Y294" i="1"/>
  <c r="BL294" i="1"/>
  <c r="CM294" i="1"/>
  <c r="G295" i="1"/>
  <c r="W295" i="1"/>
  <c r="X295" i="1"/>
  <c r="Y295" i="1"/>
  <c r="BL295" i="1"/>
  <c r="CM295" i="1"/>
  <c r="G296" i="1"/>
  <c r="W296" i="1"/>
  <c r="X296" i="1"/>
  <c r="Y296" i="1"/>
  <c r="BL296" i="1"/>
  <c r="CM296" i="1"/>
  <c r="G297" i="1"/>
  <c r="W297" i="1"/>
  <c r="X297" i="1"/>
  <c r="Y297" i="1"/>
  <c r="BL297" i="1"/>
  <c r="CM297" i="1"/>
  <c r="G298" i="1"/>
  <c r="W298" i="1"/>
  <c r="X298" i="1"/>
  <c r="Y298" i="1"/>
  <c r="BL298" i="1"/>
  <c r="CM298" i="1"/>
  <c r="G299" i="1"/>
  <c r="W299" i="1"/>
  <c r="X299" i="1"/>
  <c r="Y299" i="1"/>
  <c r="BL299" i="1"/>
  <c r="CM299" i="1"/>
  <c r="G300" i="1"/>
  <c r="W300" i="1"/>
  <c r="X300" i="1"/>
  <c r="Y300" i="1"/>
  <c r="BL300" i="1"/>
  <c r="CM300" i="1"/>
  <c r="G301" i="1"/>
  <c r="W301" i="1"/>
  <c r="X301" i="1"/>
  <c r="Y301" i="1"/>
  <c r="BL301" i="1"/>
  <c r="CM301" i="1"/>
  <c r="G302" i="1"/>
  <c r="W302" i="1"/>
  <c r="X302" i="1"/>
  <c r="Y302" i="1"/>
  <c r="BL302" i="1"/>
  <c r="CM302" i="1"/>
  <c r="G303" i="1"/>
  <c r="W303" i="1"/>
  <c r="X303" i="1"/>
  <c r="Y303" i="1"/>
  <c r="BL303" i="1"/>
  <c r="CM303" i="1"/>
  <c r="G304" i="1"/>
  <c r="W304" i="1"/>
  <c r="X304" i="1"/>
  <c r="Y304" i="1"/>
  <c r="BL304" i="1"/>
  <c r="CM304" i="1"/>
  <c r="G305" i="1"/>
  <c r="W305" i="1"/>
  <c r="X305" i="1"/>
  <c r="Y305" i="1"/>
  <c r="BL305" i="1"/>
  <c r="CM305" i="1"/>
  <c r="G306" i="1"/>
  <c r="W306" i="1"/>
  <c r="X306" i="1"/>
  <c r="Y306" i="1"/>
  <c r="BL306" i="1"/>
  <c r="CM306" i="1"/>
  <c r="G307" i="1"/>
  <c r="W307" i="1"/>
  <c r="X307" i="1"/>
  <c r="Y307" i="1"/>
  <c r="BL307" i="1"/>
  <c r="CM307" i="1"/>
  <c r="G308" i="1"/>
  <c r="W308" i="1"/>
  <c r="X308" i="1"/>
  <c r="Y308" i="1"/>
  <c r="BL308" i="1"/>
  <c r="CM308" i="1"/>
  <c r="G309" i="1"/>
  <c r="W309" i="1"/>
  <c r="X309" i="1"/>
  <c r="Y309" i="1"/>
  <c r="BL309" i="1"/>
  <c r="CM309" i="1"/>
  <c r="G310" i="1"/>
  <c r="W310" i="1"/>
  <c r="X310" i="1"/>
  <c r="Y310" i="1"/>
  <c r="BL310" i="1"/>
  <c r="CM310" i="1"/>
  <c r="G311" i="1"/>
  <c r="W311" i="1"/>
  <c r="X311" i="1"/>
  <c r="Y311" i="1"/>
  <c r="BL311" i="1"/>
  <c r="CM311" i="1"/>
  <c r="G312" i="1"/>
  <c r="W312" i="1"/>
  <c r="X312" i="1"/>
  <c r="Y312" i="1"/>
  <c r="BL312" i="1"/>
  <c r="CM312" i="1"/>
  <c r="G313" i="1"/>
  <c r="W313" i="1"/>
  <c r="X313" i="1"/>
  <c r="Y313" i="1"/>
  <c r="BL313" i="1"/>
  <c r="CM313" i="1"/>
  <c r="G314" i="1"/>
  <c r="W314" i="1"/>
  <c r="X314" i="1"/>
  <c r="Y314" i="1"/>
  <c r="BL314" i="1"/>
  <c r="CM314" i="1"/>
  <c r="G315" i="1"/>
  <c r="W315" i="1"/>
  <c r="X315" i="1"/>
  <c r="Y315" i="1"/>
  <c r="BL315" i="1"/>
  <c r="CM315" i="1"/>
  <c r="G316" i="1"/>
  <c r="W316" i="1"/>
  <c r="X316" i="1"/>
  <c r="Y316" i="1"/>
  <c r="BL316" i="1"/>
  <c r="CM316" i="1"/>
  <c r="G317" i="1"/>
  <c r="W317" i="1"/>
  <c r="X317" i="1"/>
  <c r="Y317" i="1"/>
  <c r="BL317" i="1"/>
  <c r="CM317" i="1"/>
  <c r="G318" i="1"/>
  <c r="W318" i="1"/>
  <c r="X318" i="1"/>
  <c r="Y318" i="1"/>
  <c r="BL318" i="1"/>
  <c r="CM318" i="1"/>
  <c r="G319" i="1"/>
  <c r="W319" i="1"/>
  <c r="X319" i="1"/>
  <c r="Y319" i="1"/>
  <c r="BL319" i="1"/>
  <c r="CM319" i="1"/>
  <c r="G320" i="1"/>
  <c r="W320" i="1"/>
  <c r="X320" i="1"/>
  <c r="Y320" i="1"/>
  <c r="BL320" i="1"/>
  <c r="CM320" i="1"/>
  <c r="G321" i="1"/>
  <c r="W321" i="1"/>
  <c r="X321" i="1"/>
  <c r="Y321" i="1"/>
  <c r="BL321" i="1"/>
  <c r="CM321" i="1"/>
  <c r="G322" i="1"/>
  <c r="W322" i="1"/>
  <c r="X322" i="1"/>
  <c r="Y322" i="1"/>
  <c r="BL322" i="1"/>
  <c r="CM322" i="1"/>
  <c r="G323" i="1"/>
  <c r="W323" i="1"/>
  <c r="X323" i="1"/>
  <c r="Y323" i="1"/>
  <c r="BL323" i="1"/>
  <c r="CM323" i="1"/>
  <c r="G324" i="1"/>
  <c r="W324" i="1"/>
  <c r="X324" i="1"/>
  <c r="Y324" i="1"/>
  <c r="BL324" i="1"/>
  <c r="CM324" i="1"/>
  <c r="G325" i="1"/>
  <c r="W325" i="1"/>
  <c r="X325" i="1"/>
  <c r="Y325" i="1"/>
  <c r="BL325" i="1"/>
  <c r="CM325" i="1"/>
  <c r="G326" i="1"/>
  <c r="W326" i="1"/>
  <c r="X326" i="1"/>
  <c r="Y326" i="1"/>
  <c r="BL326" i="1"/>
  <c r="CM326" i="1"/>
  <c r="G327" i="1"/>
  <c r="W327" i="1"/>
  <c r="X327" i="1"/>
  <c r="Y327" i="1"/>
  <c r="BL327" i="1"/>
  <c r="CM327" i="1"/>
  <c r="G328" i="1"/>
  <c r="W328" i="1"/>
  <c r="X328" i="1"/>
  <c r="Y328" i="1"/>
  <c r="BL328" i="1"/>
  <c r="CM328" i="1"/>
  <c r="G329" i="1"/>
  <c r="W329" i="1"/>
  <c r="X329" i="1"/>
  <c r="Y329" i="1"/>
  <c r="BL329" i="1"/>
  <c r="CM329" i="1"/>
  <c r="G330" i="1"/>
  <c r="W330" i="1"/>
  <c r="X330" i="1"/>
  <c r="Y330" i="1"/>
  <c r="BL330" i="1"/>
  <c r="CM330" i="1"/>
  <c r="G331" i="1"/>
  <c r="W331" i="1"/>
  <c r="X331" i="1"/>
  <c r="Y331" i="1"/>
  <c r="BL331" i="1"/>
  <c r="CM331" i="1"/>
  <c r="G332" i="1"/>
  <c r="W332" i="1"/>
  <c r="X332" i="1"/>
  <c r="Y332" i="1"/>
  <c r="BL332" i="1"/>
  <c r="CM332" i="1"/>
  <c r="G333" i="1"/>
  <c r="W333" i="1"/>
  <c r="X333" i="1"/>
  <c r="Y333" i="1"/>
  <c r="BL333" i="1"/>
  <c r="CM333" i="1"/>
  <c r="G334" i="1"/>
  <c r="W334" i="1"/>
  <c r="X334" i="1"/>
  <c r="Y334" i="1"/>
  <c r="BL334" i="1"/>
  <c r="CM334" i="1"/>
  <c r="G335" i="1"/>
  <c r="W335" i="1"/>
  <c r="X335" i="1"/>
  <c r="Y335" i="1"/>
  <c r="BL335" i="1"/>
  <c r="CM335" i="1"/>
  <c r="G336" i="1"/>
  <c r="W336" i="1"/>
  <c r="X336" i="1"/>
  <c r="Y336" i="1"/>
  <c r="BL336" i="1"/>
  <c r="CM336" i="1"/>
  <c r="G337" i="1"/>
  <c r="W337" i="1"/>
  <c r="X337" i="1"/>
  <c r="Y337" i="1"/>
  <c r="BL337" i="1"/>
  <c r="CM337" i="1"/>
  <c r="G338" i="1"/>
  <c r="W338" i="1"/>
  <c r="X338" i="1"/>
  <c r="Y338" i="1"/>
  <c r="BL338" i="1"/>
  <c r="CM338" i="1"/>
  <c r="G339" i="1"/>
  <c r="W339" i="1"/>
  <c r="X339" i="1"/>
  <c r="Y339" i="1"/>
  <c r="BL339" i="1"/>
  <c r="CM339" i="1"/>
  <c r="G340" i="1"/>
  <c r="W340" i="1"/>
  <c r="X340" i="1"/>
  <c r="Y340" i="1"/>
  <c r="BL340" i="1"/>
  <c r="CM340" i="1"/>
  <c r="G341" i="1"/>
  <c r="W341" i="1"/>
  <c r="X341" i="1"/>
  <c r="Y341" i="1"/>
  <c r="BL341" i="1"/>
  <c r="CM341" i="1"/>
  <c r="G342" i="1"/>
  <c r="W342" i="1"/>
  <c r="X342" i="1"/>
  <c r="Y342" i="1"/>
  <c r="BL342" i="1"/>
  <c r="CM342" i="1"/>
  <c r="G343" i="1"/>
  <c r="W343" i="1"/>
  <c r="X343" i="1"/>
  <c r="Y343" i="1"/>
  <c r="BL343" i="1"/>
  <c r="CM343" i="1"/>
  <c r="G344" i="1"/>
  <c r="W344" i="1"/>
  <c r="X344" i="1"/>
  <c r="Y344" i="1"/>
  <c r="BL344" i="1"/>
  <c r="CM344" i="1"/>
  <c r="G345" i="1"/>
  <c r="W345" i="1"/>
  <c r="X345" i="1"/>
  <c r="Y345" i="1"/>
  <c r="BL345" i="1"/>
  <c r="CM345" i="1"/>
  <c r="G346" i="1"/>
  <c r="W346" i="1"/>
  <c r="X346" i="1"/>
  <c r="Y346" i="1"/>
  <c r="BL346" i="1"/>
  <c r="CM346" i="1"/>
  <c r="G347" i="1"/>
  <c r="W347" i="1"/>
  <c r="X347" i="1"/>
  <c r="Y347" i="1"/>
  <c r="BL347" i="1"/>
  <c r="CM347" i="1"/>
  <c r="G348" i="1"/>
  <c r="W348" i="1"/>
  <c r="X348" i="1"/>
  <c r="Y348" i="1"/>
  <c r="BL348" i="1"/>
  <c r="CM348" i="1"/>
  <c r="G349" i="1"/>
  <c r="W349" i="1"/>
  <c r="X349" i="1"/>
  <c r="Y349" i="1"/>
  <c r="BL349" i="1"/>
  <c r="CM349" i="1"/>
  <c r="G350" i="1"/>
  <c r="W350" i="1"/>
  <c r="X350" i="1"/>
  <c r="Y350" i="1"/>
  <c r="BL350" i="1"/>
  <c r="CM350" i="1"/>
  <c r="G351" i="1"/>
  <c r="W351" i="1"/>
  <c r="X351" i="1"/>
  <c r="Y351" i="1"/>
  <c r="BL351" i="1"/>
  <c r="CM351" i="1"/>
  <c r="G352" i="1"/>
  <c r="W352" i="1"/>
  <c r="X352" i="1"/>
  <c r="Y352" i="1"/>
  <c r="BL352" i="1"/>
  <c r="CM352" i="1"/>
  <c r="G353" i="1"/>
  <c r="W353" i="1"/>
  <c r="X353" i="1"/>
  <c r="Y353" i="1"/>
  <c r="BL353" i="1"/>
  <c r="CM353" i="1"/>
  <c r="G354" i="1"/>
  <c r="W354" i="1"/>
  <c r="X354" i="1"/>
  <c r="Y354" i="1"/>
  <c r="BL354" i="1"/>
  <c r="CM354" i="1"/>
  <c r="G355" i="1"/>
  <c r="W355" i="1"/>
  <c r="X355" i="1"/>
  <c r="Y355" i="1"/>
  <c r="BL355" i="1"/>
  <c r="CM355" i="1"/>
  <c r="G356" i="1"/>
  <c r="W356" i="1"/>
  <c r="X356" i="1"/>
  <c r="Y356" i="1"/>
  <c r="BL356" i="1"/>
  <c r="CM356" i="1"/>
  <c r="G357" i="1"/>
  <c r="W357" i="1"/>
  <c r="X357" i="1"/>
  <c r="Y357" i="1"/>
  <c r="BL357" i="1"/>
  <c r="CM357" i="1"/>
  <c r="G358" i="1"/>
  <c r="W358" i="1"/>
  <c r="X358" i="1"/>
  <c r="Y358" i="1"/>
  <c r="BL358" i="1"/>
  <c r="CM358" i="1"/>
  <c r="G359" i="1"/>
  <c r="W359" i="1"/>
  <c r="X359" i="1"/>
  <c r="Y359" i="1"/>
  <c r="BL359" i="1"/>
  <c r="CM359" i="1"/>
  <c r="G360" i="1"/>
  <c r="W360" i="1"/>
  <c r="X360" i="1"/>
  <c r="Y360" i="1"/>
  <c r="BL360" i="1"/>
  <c r="CM360" i="1"/>
  <c r="G361" i="1"/>
  <c r="W361" i="1"/>
  <c r="X361" i="1"/>
  <c r="Y361" i="1"/>
  <c r="BL361" i="1"/>
  <c r="CM361" i="1"/>
  <c r="G362" i="1"/>
  <c r="W362" i="1"/>
  <c r="X362" i="1"/>
  <c r="Y362" i="1"/>
  <c r="BL362" i="1"/>
  <c r="CM362" i="1"/>
  <c r="G363" i="1"/>
  <c r="W363" i="1"/>
  <c r="X363" i="1"/>
  <c r="Y363" i="1"/>
  <c r="BL363" i="1"/>
  <c r="CM363" i="1"/>
  <c r="G364" i="1"/>
  <c r="W364" i="1"/>
  <c r="X364" i="1"/>
  <c r="Y364" i="1"/>
  <c r="BL364" i="1"/>
  <c r="CM364" i="1"/>
  <c r="G365" i="1"/>
  <c r="W365" i="1"/>
  <c r="X365" i="1"/>
  <c r="Y365" i="1"/>
  <c r="BL365" i="1"/>
  <c r="CM365" i="1"/>
  <c r="G366" i="1"/>
  <c r="W366" i="1"/>
  <c r="X366" i="1"/>
  <c r="Y366" i="1"/>
  <c r="BL366" i="1"/>
  <c r="CM366" i="1"/>
  <c r="G367" i="1"/>
  <c r="W367" i="1"/>
  <c r="X367" i="1"/>
  <c r="Y367" i="1"/>
  <c r="BL367" i="1"/>
  <c r="CM367" i="1"/>
  <c r="G368" i="1"/>
  <c r="W368" i="1"/>
  <c r="X368" i="1"/>
  <c r="Y368" i="1"/>
  <c r="BL368" i="1"/>
  <c r="CM368" i="1"/>
  <c r="G369" i="1"/>
  <c r="W369" i="1"/>
  <c r="X369" i="1"/>
  <c r="Y369" i="1"/>
  <c r="BL369" i="1"/>
  <c r="CM369" i="1"/>
  <c r="G370" i="1"/>
  <c r="W370" i="1"/>
  <c r="X370" i="1"/>
  <c r="Y370" i="1"/>
  <c r="BL370" i="1"/>
  <c r="CM370" i="1"/>
  <c r="G371" i="1"/>
  <c r="W371" i="1"/>
  <c r="X371" i="1"/>
  <c r="Y371" i="1"/>
  <c r="BL371" i="1"/>
  <c r="CM371" i="1"/>
  <c r="G372" i="1"/>
  <c r="W372" i="1"/>
  <c r="X372" i="1"/>
  <c r="Y372" i="1"/>
  <c r="BL372" i="1"/>
  <c r="CM372" i="1"/>
  <c r="G373" i="1"/>
  <c r="W373" i="1"/>
  <c r="X373" i="1"/>
  <c r="Y373" i="1"/>
  <c r="BL373" i="1"/>
  <c r="CM373" i="1"/>
  <c r="G374" i="1"/>
  <c r="W374" i="1"/>
  <c r="X374" i="1"/>
  <c r="Y374" i="1"/>
  <c r="BL374" i="1"/>
  <c r="CM374" i="1"/>
  <c r="G375" i="1"/>
  <c r="W375" i="1"/>
  <c r="X375" i="1"/>
  <c r="Y375" i="1"/>
  <c r="BL375" i="1"/>
  <c r="CM375" i="1"/>
  <c r="G376" i="1"/>
  <c r="W376" i="1"/>
  <c r="X376" i="1"/>
  <c r="Y376" i="1"/>
  <c r="BL376" i="1"/>
  <c r="CM376" i="1"/>
  <c r="G377" i="1"/>
  <c r="W377" i="1"/>
  <c r="X377" i="1"/>
  <c r="Y377" i="1"/>
  <c r="BL377" i="1"/>
  <c r="CM377" i="1"/>
  <c r="G378" i="1"/>
  <c r="W378" i="1"/>
  <c r="X378" i="1"/>
  <c r="Y378" i="1"/>
  <c r="BL378" i="1"/>
  <c r="CM378" i="1"/>
  <c r="G379" i="1"/>
  <c r="W379" i="1"/>
  <c r="X379" i="1"/>
  <c r="Y379" i="1"/>
  <c r="BL379" i="1"/>
  <c r="CM379" i="1"/>
  <c r="G380" i="1"/>
  <c r="W380" i="1"/>
  <c r="X380" i="1"/>
  <c r="Y380" i="1"/>
  <c r="BL380" i="1"/>
  <c r="CM380" i="1"/>
  <c r="G381" i="1"/>
  <c r="W381" i="1"/>
  <c r="X381" i="1"/>
  <c r="Y381" i="1"/>
  <c r="BL381" i="1"/>
  <c r="CM381" i="1"/>
  <c r="G382" i="1"/>
  <c r="W382" i="1"/>
  <c r="X382" i="1"/>
  <c r="Y382" i="1"/>
  <c r="BL382" i="1"/>
  <c r="CM382" i="1"/>
  <c r="G383" i="1"/>
  <c r="W383" i="1"/>
  <c r="X383" i="1"/>
  <c r="Y383" i="1"/>
  <c r="BL383" i="1"/>
  <c r="CM383" i="1"/>
  <c r="G384" i="1"/>
  <c r="W384" i="1"/>
  <c r="X384" i="1"/>
  <c r="Y384" i="1"/>
  <c r="BL384" i="1"/>
  <c r="CM384" i="1"/>
  <c r="G385" i="1"/>
  <c r="W385" i="1"/>
  <c r="X385" i="1"/>
  <c r="Y385" i="1"/>
  <c r="BL385" i="1"/>
  <c r="CM385" i="1"/>
  <c r="G386" i="1"/>
  <c r="W386" i="1"/>
  <c r="X386" i="1"/>
  <c r="Y386" i="1"/>
  <c r="BL386" i="1"/>
  <c r="CM386" i="1"/>
  <c r="G387" i="1"/>
  <c r="W387" i="1"/>
  <c r="X387" i="1"/>
  <c r="Y387" i="1"/>
  <c r="BL387" i="1"/>
  <c r="CM387" i="1"/>
  <c r="G388" i="1"/>
  <c r="W388" i="1"/>
  <c r="X388" i="1"/>
  <c r="Y388" i="1"/>
  <c r="BL388" i="1"/>
  <c r="CM388" i="1"/>
  <c r="G389" i="1"/>
  <c r="W389" i="1"/>
  <c r="X389" i="1"/>
  <c r="Y389" i="1"/>
  <c r="BL389" i="1"/>
  <c r="CM389" i="1"/>
  <c r="G390" i="1"/>
  <c r="W390" i="1"/>
  <c r="X390" i="1"/>
  <c r="Y390" i="1"/>
  <c r="BL390" i="1"/>
  <c r="CM390" i="1"/>
  <c r="G391" i="1"/>
  <c r="W391" i="1"/>
  <c r="X391" i="1"/>
  <c r="Y391" i="1"/>
  <c r="BL391" i="1"/>
  <c r="CM391" i="1"/>
  <c r="G392" i="1"/>
  <c r="W392" i="1"/>
  <c r="X392" i="1"/>
  <c r="Y392" i="1"/>
  <c r="BL392" i="1"/>
  <c r="CM392" i="1"/>
  <c r="G393" i="1"/>
  <c r="W393" i="1"/>
  <c r="X393" i="1"/>
  <c r="Y393" i="1"/>
  <c r="BL393" i="1"/>
  <c r="CM393" i="1"/>
  <c r="G394" i="1"/>
  <c r="W394" i="1"/>
  <c r="X394" i="1"/>
  <c r="Y394" i="1"/>
  <c r="BL394" i="1"/>
  <c r="CM394" i="1"/>
  <c r="G395" i="1"/>
  <c r="W395" i="1"/>
  <c r="X395" i="1"/>
  <c r="Y395" i="1"/>
  <c r="BL395" i="1"/>
  <c r="CM395" i="1"/>
  <c r="G396" i="1"/>
  <c r="W396" i="1"/>
  <c r="X396" i="1"/>
  <c r="Y396" i="1"/>
  <c r="BL396" i="1"/>
  <c r="CM396" i="1"/>
  <c r="G397" i="1"/>
  <c r="W397" i="1"/>
  <c r="X397" i="1"/>
  <c r="Y397" i="1"/>
  <c r="BL397" i="1"/>
  <c r="CM397" i="1"/>
  <c r="G398" i="1"/>
  <c r="W398" i="1"/>
  <c r="X398" i="1"/>
  <c r="Y398" i="1"/>
  <c r="BL398" i="1"/>
  <c r="CM398" i="1"/>
  <c r="G399" i="1"/>
  <c r="W399" i="1"/>
  <c r="X399" i="1"/>
  <c r="Y399" i="1"/>
  <c r="BL399" i="1"/>
  <c r="CM399" i="1"/>
  <c r="G400" i="1"/>
  <c r="W400" i="1"/>
  <c r="X400" i="1"/>
  <c r="Y400" i="1"/>
  <c r="BL400" i="1"/>
  <c r="CM400" i="1"/>
  <c r="G401" i="1"/>
  <c r="W401" i="1"/>
  <c r="X401" i="1"/>
  <c r="Y401" i="1"/>
  <c r="BL401" i="1"/>
  <c r="CM401" i="1"/>
  <c r="G402" i="1"/>
  <c r="W402" i="1"/>
  <c r="X402" i="1"/>
  <c r="Y402" i="1"/>
  <c r="BL402" i="1"/>
  <c r="CM402" i="1"/>
  <c r="G403" i="1"/>
  <c r="W403" i="1"/>
  <c r="X403" i="1"/>
  <c r="Y403" i="1"/>
  <c r="BL403" i="1"/>
  <c r="CM403" i="1"/>
  <c r="G404" i="1"/>
  <c r="W404" i="1"/>
  <c r="X404" i="1"/>
  <c r="Y404" i="1"/>
  <c r="BL404" i="1"/>
  <c r="CM404" i="1"/>
  <c r="G405" i="1"/>
  <c r="W405" i="1"/>
  <c r="X405" i="1"/>
  <c r="Y405" i="1"/>
  <c r="BL405" i="1"/>
  <c r="CM405" i="1"/>
  <c r="G406" i="1"/>
  <c r="W406" i="1"/>
  <c r="X406" i="1"/>
  <c r="Y406" i="1"/>
  <c r="BL406" i="1"/>
  <c r="CM406" i="1"/>
  <c r="G407" i="1"/>
  <c r="W407" i="1"/>
  <c r="X407" i="1"/>
  <c r="Y407" i="1"/>
  <c r="BL407" i="1"/>
  <c r="CM407" i="1"/>
  <c r="G408" i="1"/>
  <c r="W408" i="1"/>
  <c r="X408" i="1"/>
  <c r="Y408" i="1"/>
  <c r="BL408" i="1"/>
  <c r="CM408" i="1"/>
  <c r="G409" i="1"/>
  <c r="W409" i="1"/>
  <c r="X409" i="1"/>
  <c r="Y409" i="1"/>
  <c r="BL409" i="1"/>
  <c r="CM409" i="1"/>
  <c r="G410" i="1"/>
  <c r="W410" i="1"/>
  <c r="X410" i="1"/>
  <c r="Y410" i="1"/>
  <c r="BL410" i="1"/>
  <c r="CM410" i="1"/>
  <c r="G411" i="1"/>
  <c r="W411" i="1"/>
  <c r="X411" i="1"/>
  <c r="Y411" i="1"/>
  <c r="BL411" i="1"/>
  <c r="CM411" i="1"/>
  <c r="G412" i="1"/>
  <c r="W412" i="1"/>
  <c r="X412" i="1"/>
  <c r="Y412" i="1"/>
  <c r="BL412" i="1"/>
  <c r="CM412" i="1"/>
  <c r="G413" i="1"/>
  <c r="W413" i="1"/>
  <c r="X413" i="1"/>
  <c r="Y413" i="1"/>
  <c r="BL413" i="1"/>
  <c r="CM413" i="1"/>
  <c r="G414" i="1"/>
  <c r="W414" i="1"/>
  <c r="X414" i="1"/>
  <c r="Y414" i="1"/>
  <c r="BL414" i="1"/>
  <c r="CM414" i="1"/>
  <c r="G415" i="1"/>
  <c r="W415" i="1"/>
  <c r="X415" i="1"/>
  <c r="Y415" i="1"/>
  <c r="BL415" i="1"/>
  <c r="CM415" i="1"/>
  <c r="G416" i="1"/>
  <c r="W416" i="1"/>
  <c r="X416" i="1"/>
  <c r="Y416" i="1"/>
  <c r="BL416" i="1"/>
  <c r="CM416" i="1"/>
  <c r="G417" i="1"/>
  <c r="W417" i="1"/>
  <c r="X417" i="1"/>
  <c r="Y417" i="1"/>
  <c r="BL417" i="1"/>
  <c r="CM417" i="1"/>
  <c r="G418" i="1"/>
  <c r="W418" i="1"/>
  <c r="X418" i="1"/>
  <c r="Y418" i="1"/>
  <c r="BL418" i="1"/>
  <c r="CM418" i="1"/>
  <c r="G419" i="1"/>
  <c r="W419" i="1"/>
  <c r="X419" i="1"/>
  <c r="Y419" i="1"/>
  <c r="BL419" i="1"/>
  <c r="CM419" i="1"/>
  <c r="G420" i="1"/>
  <c r="W420" i="1"/>
  <c r="X420" i="1"/>
  <c r="Y420" i="1"/>
  <c r="BL420" i="1"/>
  <c r="CM420" i="1"/>
  <c r="G421" i="1"/>
  <c r="W421" i="1"/>
  <c r="X421" i="1"/>
  <c r="Y421" i="1"/>
  <c r="BL421" i="1"/>
  <c r="CM421" i="1"/>
  <c r="G422" i="1"/>
  <c r="W422" i="1"/>
  <c r="X422" i="1"/>
  <c r="Y422" i="1"/>
  <c r="BL422" i="1"/>
  <c r="CM422" i="1"/>
  <c r="G423" i="1"/>
  <c r="W423" i="1"/>
  <c r="X423" i="1"/>
  <c r="Y423" i="1"/>
  <c r="BL423" i="1"/>
  <c r="CM423" i="1"/>
  <c r="G424" i="1"/>
  <c r="W424" i="1"/>
  <c r="X424" i="1"/>
  <c r="Y424" i="1"/>
  <c r="BL424" i="1"/>
  <c r="CM424" i="1"/>
  <c r="G425" i="1"/>
  <c r="W425" i="1"/>
  <c r="X425" i="1"/>
  <c r="Y425" i="1"/>
  <c r="BL425" i="1"/>
  <c r="CM425" i="1"/>
  <c r="G426" i="1"/>
  <c r="W426" i="1"/>
  <c r="X426" i="1"/>
  <c r="Y426" i="1"/>
  <c r="BL426" i="1"/>
  <c r="CM426" i="1"/>
  <c r="G427" i="1"/>
  <c r="W427" i="1"/>
  <c r="X427" i="1"/>
  <c r="Y427" i="1"/>
  <c r="BL427" i="1"/>
  <c r="CM427" i="1"/>
  <c r="G428" i="1"/>
  <c r="W428" i="1"/>
  <c r="X428" i="1"/>
  <c r="Y428" i="1"/>
  <c r="BL428" i="1"/>
  <c r="CM428" i="1"/>
  <c r="G429" i="1"/>
  <c r="W429" i="1"/>
  <c r="X429" i="1"/>
  <c r="Y429" i="1"/>
  <c r="BL429" i="1"/>
  <c r="CM429" i="1"/>
  <c r="G430" i="1"/>
  <c r="W430" i="1"/>
  <c r="X430" i="1"/>
  <c r="Y430" i="1"/>
  <c r="BL430" i="1"/>
  <c r="CM430" i="1"/>
  <c r="G431" i="1"/>
  <c r="W431" i="1"/>
  <c r="X431" i="1"/>
  <c r="Y431" i="1"/>
  <c r="BL431" i="1"/>
  <c r="CM431" i="1"/>
  <c r="G432" i="1"/>
  <c r="W432" i="1"/>
  <c r="X432" i="1"/>
  <c r="Y432" i="1"/>
  <c r="BL432" i="1"/>
  <c r="CM432" i="1"/>
  <c r="G433" i="1"/>
  <c r="W433" i="1"/>
  <c r="X433" i="1"/>
  <c r="Y433" i="1"/>
  <c r="BL433" i="1"/>
  <c r="CM433" i="1"/>
  <c r="G434" i="1"/>
  <c r="W434" i="1"/>
  <c r="X434" i="1"/>
  <c r="Y434" i="1"/>
  <c r="BL434" i="1"/>
  <c r="CM434" i="1"/>
  <c r="G435" i="1"/>
  <c r="W435" i="1"/>
  <c r="X435" i="1"/>
  <c r="Y435" i="1"/>
  <c r="BL435" i="1"/>
  <c r="CM435" i="1"/>
  <c r="G436" i="1"/>
  <c r="W436" i="1"/>
  <c r="X436" i="1"/>
  <c r="Y436" i="1"/>
  <c r="BL436" i="1"/>
  <c r="CM436" i="1"/>
  <c r="G437" i="1"/>
  <c r="W437" i="1"/>
  <c r="X437" i="1"/>
  <c r="Y437" i="1"/>
  <c r="BL437" i="1"/>
  <c r="CM437" i="1"/>
  <c r="G438" i="1"/>
  <c r="W438" i="1"/>
  <c r="X438" i="1"/>
  <c r="Y438" i="1"/>
  <c r="BL438" i="1"/>
  <c r="CM438" i="1"/>
  <c r="G439" i="1"/>
  <c r="W439" i="1"/>
  <c r="X439" i="1"/>
  <c r="Y439" i="1"/>
  <c r="BL439" i="1"/>
  <c r="CM439" i="1"/>
  <c r="G440" i="1"/>
  <c r="W440" i="1"/>
  <c r="X440" i="1"/>
  <c r="Y440" i="1"/>
  <c r="BL440" i="1"/>
  <c r="CM440" i="1"/>
  <c r="G441" i="1"/>
  <c r="W441" i="1"/>
  <c r="X441" i="1"/>
  <c r="Y441" i="1"/>
  <c r="BL441" i="1"/>
  <c r="CM441" i="1"/>
  <c r="G442" i="1"/>
  <c r="W442" i="1"/>
  <c r="X442" i="1"/>
  <c r="Y442" i="1"/>
  <c r="BL442" i="1"/>
  <c r="CM442" i="1"/>
  <c r="G443" i="1"/>
  <c r="W443" i="1"/>
  <c r="X443" i="1"/>
  <c r="Y443" i="1"/>
  <c r="BL443" i="1"/>
  <c r="CM443" i="1"/>
  <c r="G444" i="1"/>
  <c r="W444" i="1"/>
  <c r="X444" i="1"/>
  <c r="Y444" i="1"/>
  <c r="BL444" i="1"/>
  <c r="CM444" i="1"/>
  <c r="G445" i="1"/>
  <c r="W445" i="1"/>
  <c r="X445" i="1"/>
  <c r="Y445" i="1"/>
  <c r="BL445" i="1"/>
  <c r="CM445" i="1"/>
  <c r="G446" i="1"/>
  <c r="W446" i="1"/>
  <c r="X446" i="1"/>
  <c r="Y446" i="1"/>
  <c r="BL446" i="1"/>
  <c r="CM446" i="1"/>
  <c r="G447" i="1"/>
  <c r="W447" i="1"/>
  <c r="X447" i="1"/>
  <c r="Y447" i="1"/>
  <c r="BL447" i="1"/>
  <c r="CM447" i="1"/>
  <c r="G448" i="1"/>
  <c r="W448" i="1"/>
  <c r="X448" i="1"/>
  <c r="Y448" i="1"/>
  <c r="BL448" i="1"/>
  <c r="CM448" i="1"/>
  <c r="G449" i="1"/>
  <c r="W449" i="1"/>
  <c r="X449" i="1"/>
  <c r="Y449" i="1"/>
  <c r="BL449" i="1"/>
  <c r="CM449" i="1"/>
  <c r="G450" i="1"/>
  <c r="W450" i="1"/>
  <c r="X450" i="1"/>
  <c r="Y450" i="1"/>
  <c r="BL450" i="1"/>
  <c r="CM450" i="1"/>
  <c r="G451" i="1"/>
  <c r="W451" i="1"/>
  <c r="X451" i="1"/>
  <c r="Y451" i="1"/>
  <c r="BL451" i="1"/>
  <c r="CM451" i="1"/>
  <c r="G452" i="1"/>
  <c r="W452" i="1"/>
  <c r="X452" i="1"/>
  <c r="Y452" i="1"/>
  <c r="BL452" i="1"/>
  <c r="CM452" i="1"/>
  <c r="G453" i="1"/>
  <c r="W453" i="1"/>
  <c r="X453" i="1"/>
  <c r="Y453" i="1"/>
  <c r="BL453" i="1"/>
  <c r="CM453" i="1"/>
  <c r="G454" i="1"/>
  <c r="W454" i="1"/>
  <c r="X454" i="1"/>
  <c r="Y454" i="1"/>
  <c r="BL454" i="1"/>
  <c r="CM454" i="1"/>
  <c r="G455" i="1"/>
  <c r="W455" i="1"/>
  <c r="X455" i="1"/>
  <c r="Y455" i="1"/>
  <c r="BL455" i="1"/>
  <c r="CM455" i="1"/>
  <c r="G456" i="1"/>
  <c r="W456" i="1"/>
  <c r="X456" i="1"/>
  <c r="Y456" i="1"/>
  <c r="BL456" i="1"/>
  <c r="CM456" i="1"/>
  <c r="G457" i="1"/>
  <c r="W457" i="1"/>
  <c r="X457" i="1"/>
  <c r="Y457" i="1"/>
  <c r="BL457" i="1"/>
  <c r="CM457" i="1"/>
  <c r="G458" i="1"/>
  <c r="W458" i="1"/>
  <c r="X458" i="1"/>
  <c r="Y458" i="1"/>
  <c r="BL458" i="1"/>
  <c r="CM458" i="1"/>
  <c r="G459" i="1"/>
  <c r="W459" i="1"/>
  <c r="X459" i="1"/>
  <c r="Y459" i="1"/>
  <c r="BL459" i="1"/>
  <c r="CM459" i="1"/>
  <c r="G460" i="1"/>
  <c r="W460" i="1"/>
  <c r="X460" i="1"/>
  <c r="Y460" i="1"/>
  <c r="BL460" i="1"/>
  <c r="CM460" i="1"/>
  <c r="G461" i="1"/>
  <c r="W461" i="1"/>
  <c r="X461" i="1"/>
  <c r="Y461" i="1"/>
  <c r="BL461" i="1"/>
  <c r="CM461" i="1"/>
  <c r="G462" i="1"/>
  <c r="W462" i="1"/>
  <c r="X462" i="1"/>
  <c r="Y462" i="1"/>
  <c r="BL462" i="1"/>
  <c r="CM462" i="1"/>
  <c r="G463" i="1"/>
  <c r="W463" i="1"/>
  <c r="X463" i="1"/>
  <c r="Y463" i="1"/>
  <c r="BL463" i="1"/>
  <c r="CM463" i="1"/>
  <c r="G464" i="1"/>
  <c r="W464" i="1"/>
  <c r="X464" i="1"/>
  <c r="Y464" i="1"/>
  <c r="BL464" i="1"/>
  <c r="CM464" i="1"/>
  <c r="G465" i="1"/>
  <c r="W465" i="1"/>
  <c r="X465" i="1"/>
  <c r="Y465" i="1"/>
  <c r="BL465" i="1"/>
  <c r="CM465" i="1"/>
  <c r="G466" i="1"/>
  <c r="W466" i="1"/>
  <c r="X466" i="1"/>
  <c r="Y466" i="1"/>
  <c r="BL466" i="1"/>
  <c r="CM466" i="1"/>
  <c r="G467" i="1"/>
  <c r="W467" i="1"/>
  <c r="X467" i="1"/>
  <c r="Y467" i="1"/>
  <c r="BL467" i="1"/>
  <c r="CM467" i="1"/>
  <c r="G468" i="1"/>
  <c r="W468" i="1"/>
  <c r="X468" i="1"/>
  <c r="Y468" i="1"/>
  <c r="BL468" i="1"/>
  <c r="CM468" i="1"/>
  <c r="G469" i="1"/>
  <c r="W469" i="1"/>
  <c r="X469" i="1"/>
  <c r="Y469" i="1"/>
  <c r="BL469" i="1"/>
  <c r="CM469" i="1"/>
  <c r="G470" i="1"/>
  <c r="W470" i="1"/>
  <c r="X470" i="1"/>
  <c r="Y470" i="1"/>
  <c r="BL470" i="1"/>
  <c r="CM470" i="1"/>
  <c r="G471" i="1"/>
  <c r="W471" i="1"/>
  <c r="X471" i="1"/>
  <c r="Y471" i="1"/>
  <c r="BL471" i="1"/>
  <c r="CM471" i="1"/>
  <c r="G472" i="1"/>
  <c r="W472" i="1"/>
  <c r="X472" i="1"/>
  <c r="Y472" i="1"/>
  <c r="BL472" i="1"/>
  <c r="CM472" i="1"/>
  <c r="G473" i="1"/>
  <c r="W473" i="1"/>
  <c r="X473" i="1"/>
  <c r="Y473" i="1"/>
  <c r="BL473" i="1"/>
  <c r="CM473" i="1"/>
  <c r="G474" i="1"/>
  <c r="W474" i="1"/>
  <c r="X474" i="1"/>
  <c r="Y474" i="1"/>
  <c r="BL474" i="1"/>
  <c r="CM474" i="1"/>
  <c r="G475" i="1"/>
  <c r="W475" i="1"/>
  <c r="X475" i="1"/>
  <c r="Y475" i="1"/>
  <c r="BL475" i="1"/>
  <c r="CM475" i="1"/>
  <c r="G476" i="1"/>
  <c r="W476" i="1"/>
  <c r="X476" i="1"/>
  <c r="Y476" i="1"/>
  <c r="BL476" i="1"/>
  <c r="CM476" i="1"/>
  <c r="G477" i="1"/>
  <c r="W477" i="1"/>
  <c r="X477" i="1"/>
  <c r="Y477" i="1"/>
  <c r="BL477" i="1"/>
  <c r="CM477" i="1"/>
  <c r="G478" i="1"/>
  <c r="W478" i="1"/>
  <c r="X478" i="1"/>
  <c r="Y478" i="1"/>
  <c r="BL478" i="1"/>
  <c r="CM478" i="1"/>
  <c r="G479" i="1"/>
  <c r="W479" i="1"/>
  <c r="X479" i="1"/>
  <c r="Y479" i="1"/>
  <c r="BL479" i="1"/>
  <c r="CM479" i="1"/>
  <c r="G480" i="1"/>
  <c r="W480" i="1"/>
  <c r="X480" i="1"/>
  <c r="Y480" i="1"/>
  <c r="BL480" i="1"/>
  <c r="CM480" i="1"/>
  <c r="G481" i="1"/>
  <c r="W481" i="1"/>
  <c r="X481" i="1"/>
  <c r="Y481" i="1"/>
  <c r="BL481" i="1"/>
  <c r="CM481" i="1"/>
  <c r="G482" i="1"/>
  <c r="W482" i="1"/>
  <c r="X482" i="1"/>
  <c r="Y482" i="1"/>
  <c r="BL482" i="1"/>
  <c r="CM482" i="1"/>
  <c r="G483" i="1"/>
  <c r="W483" i="1"/>
  <c r="X483" i="1"/>
  <c r="Y483" i="1"/>
  <c r="BL483" i="1"/>
  <c r="CM483" i="1"/>
  <c r="G484" i="1"/>
  <c r="W484" i="1"/>
  <c r="X484" i="1"/>
  <c r="Y484" i="1"/>
  <c r="BL484" i="1"/>
  <c r="CM484" i="1"/>
  <c r="G485" i="1"/>
  <c r="W485" i="1"/>
  <c r="X485" i="1"/>
  <c r="Y485" i="1"/>
  <c r="BL485" i="1"/>
  <c r="CM485" i="1"/>
  <c r="G486" i="1"/>
  <c r="W486" i="1"/>
  <c r="X486" i="1"/>
  <c r="Y486" i="1"/>
  <c r="BL486" i="1"/>
  <c r="CM486" i="1"/>
  <c r="G487" i="1"/>
  <c r="W487" i="1"/>
  <c r="X487" i="1"/>
  <c r="Y487" i="1"/>
  <c r="BL487" i="1"/>
  <c r="CM487" i="1"/>
  <c r="G488" i="1"/>
  <c r="W488" i="1"/>
  <c r="X488" i="1"/>
  <c r="Y488" i="1"/>
  <c r="BL488" i="1"/>
  <c r="CM488" i="1"/>
  <c r="G489" i="1"/>
  <c r="W489" i="1"/>
  <c r="X489" i="1"/>
  <c r="Y489" i="1"/>
  <c r="BL489" i="1"/>
  <c r="CM489" i="1"/>
  <c r="G490" i="1"/>
  <c r="W490" i="1"/>
  <c r="X490" i="1"/>
  <c r="Y490" i="1"/>
  <c r="BL490" i="1"/>
  <c r="CM490" i="1"/>
  <c r="G491" i="1"/>
  <c r="W491" i="1"/>
  <c r="X491" i="1"/>
  <c r="Y491" i="1"/>
  <c r="BL491" i="1"/>
  <c r="CM491" i="1"/>
  <c r="G492" i="1"/>
  <c r="W492" i="1"/>
  <c r="X492" i="1"/>
  <c r="Y492" i="1"/>
  <c r="BL492" i="1"/>
  <c r="CM492" i="1"/>
  <c r="G493" i="1"/>
  <c r="W493" i="1"/>
  <c r="X493" i="1"/>
  <c r="Y493" i="1"/>
  <c r="BL493" i="1"/>
  <c r="CM493" i="1"/>
  <c r="G494" i="1"/>
  <c r="W494" i="1"/>
  <c r="X494" i="1"/>
  <c r="Y494" i="1"/>
  <c r="BL494" i="1"/>
  <c r="CM494" i="1"/>
  <c r="G495" i="1"/>
  <c r="W495" i="1"/>
  <c r="X495" i="1"/>
  <c r="Y495" i="1"/>
  <c r="BL495" i="1"/>
  <c r="CM495" i="1"/>
  <c r="G496" i="1"/>
  <c r="W496" i="1"/>
  <c r="X496" i="1"/>
  <c r="Y496" i="1"/>
  <c r="BL496" i="1"/>
  <c r="CM496" i="1"/>
  <c r="G497" i="1"/>
  <c r="W497" i="1"/>
  <c r="X497" i="1"/>
  <c r="Y497" i="1"/>
  <c r="BL497" i="1"/>
  <c r="CM497" i="1"/>
  <c r="G498" i="1"/>
  <c r="W498" i="1"/>
  <c r="X498" i="1"/>
  <c r="Y498" i="1"/>
  <c r="BL498" i="1"/>
  <c r="CM498" i="1"/>
  <c r="G499" i="1"/>
  <c r="W499" i="1"/>
  <c r="X499" i="1"/>
  <c r="Y499" i="1"/>
  <c r="BL499" i="1"/>
  <c r="CM499" i="1"/>
  <c r="G500" i="1"/>
  <c r="W500" i="1"/>
  <c r="X500" i="1"/>
  <c r="Y500" i="1"/>
  <c r="BL500" i="1"/>
  <c r="CM500" i="1"/>
  <c r="G501" i="1"/>
  <c r="W501" i="1"/>
  <c r="X501" i="1"/>
  <c r="Y501" i="1"/>
  <c r="BL501" i="1"/>
  <c r="CM501" i="1"/>
  <c r="G502" i="1"/>
  <c r="W502" i="1"/>
  <c r="X502" i="1"/>
  <c r="Y502" i="1"/>
  <c r="BL502" i="1"/>
  <c r="CM502" i="1"/>
  <c r="G503" i="1"/>
  <c r="W503" i="1"/>
  <c r="X503" i="1"/>
  <c r="Y503" i="1"/>
  <c r="BL503" i="1"/>
  <c r="CM503" i="1"/>
  <c r="G504" i="1"/>
  <c r="W504" i="1"/>
  <c r="X504" i="1"/>
  <c r="Y504" i="1"/>
  <c r="BL504" i="1"/>
  <c r="CM504" i="1"/>
  <c r="G505" i="1"/>
  <c r="W505" i="1"/>
  <c r="X505" i="1"/>
  <c r="Y505" i="1"/>
  <c r="BL505" i="1"/>
  <c r="CM505" i="1"/>
  <c r="G506" i="1"/>
  <c r="W506" i="1"/>
  <c r="X506" i="1"/>
  <c r="Y506" i="1"/>
  <c r="BL506" i="1"/>
  <c r="CM506" i="1"/>
  <c r="G507" i="1"/>
  <c r="W507" i="1"/>
  <c r="X507" i="1"/>
  <c r="Y507" i="1"/>
  <c r="BL507" i="1"/>
  <c r="CM507" i="1"/>
  <c r="G508" i="1"/>
  <c r="W508" i="1"/>
  <c r="X508" i="1"/>
  <c r="Y508" i="1"/>
  <c r="BL508" i="1"/>
  <c r="CM508" i="1"/>
  <c r="G509" i="1"/>
  <c r="W509" i="1"/>
  <c r="X509" i="1"/>
  <c r="Y509" i="1"/>
  <c r="BL509" i="1"/>
  <c r="CM509" i="1"/>
  <c r="G510" i="1"/>
  <c r="W510" i="1"/>
  <c r="X510" i="1"/>
  <c r="Y510" i="1"/>
  <c r="BL510" i="1"/>
  <c r="CM510" i="1"/>
  <c r="G511" i="1"/>
  <c r="W511" i="1"/>
  <c r="X511" i="1"/>
  <c r="Y511" i="1"/>
  <c r="BL511" i="1"/>
  <c r="CM511" i="1"/>
  <c r="G512" i="1"/>
  <c r="W512" i="1"/>
  <c r="X512" i="1"/>
  <c r="Y512" i="1"/>
  <c r="BL512" i="1"/>
  <c r="CM512" i="1"/>
  <c r="G513" i="1"/>
  <c r="W513" i="1"/>
  <c r="X513" i="1"/>
  <c r="Y513" i="1"/>
  <c r="BL513" i="1"/>
  <c r="CM513" i="1"/>
  <c r="G514" i="1"/>
  <c r="W514" i="1"/>
  <c r="X514" i="1"/>
  <c r="Y514" i="1"/>
  <c r="BL514" i="1"/>
  <c r="CM514" i="1"/>
  <c r="G515" i="1"/>
  <c r="W515" i="1"/>
  <c r="X515" i="1"/>
  <c r="Y515" i="1"/>
  <c r="BL515" i="1"/>
  <c r="CM515" i="1"/>
  <c r="G516" i="1"/>
  <c r="W516" i="1"/>
  <c r="X516" i="1"/>
  <c r="Y516" i="1"/>
  <c r="BL516" i="1"/>
  <c r="CM516" i="1"/>
  <c r="G517" i="1"/>
  <c r="W517" i="1"/>
  <c r="X517" i="1"/>
  <c r="Y517" i="1"/>
  <c r="BL517" i="1"/>
  <c r="CM517" i="1"/>
  <c r="G518" i="1"/>
  <c r="W518" i="1"/>
  <c r="X518" i="1"/>
  <c r="Y518" i="1"/>
  <c r="BL518" i="1"/>
  <c r="CM518" i="1"/>
  <c r="G519" i="1"/>
  <c r="W519" i="1"/>
  <c r="X519" i="1"/>
  <c r="Y519" i="1"/>
  <c r="BL519" i="1"/>
  <c r="CM519" i="1"/>
  <c r="G520" i="1"/>
  <c r="W520" i="1"/>
  <c r="X520" i="1"/>
  <c r="Y520" i="1"/>
  <c r="BL520" i="1"/>
  <c r="CM520" i="1"/>
  <c r="G521" i="1"/>
  <c r="W521" i="1"/>
  <c r="X521" i="1"/>
  <c r="Y521" i="1"/>
  <c r="BL521" i="1"/>
  <c r="CM521" i="1"/>
  <c r="G522" i="1"/>
  <c r="W522" i="1"/>
  <c r="X522" i="1"/>
  <c r="Y522" i="1"/>
  <c r="BL522" i="1"/>
  <c r="CM522" i="1"/>
  <c r="G523" i="1"/>
  <c r="W523" i="1"/>
  <c r="X523" i="1"/>
  <c r="Y523" i="1"/>
  <c r="BL523" i="1"/>
  <c r="CM523" i="1"/>
  <c r="G524" i="1"/>
  <c r="W524" i="1"/>
  <c r="X524" i="1"/>
  <c r="Y524" i="1"/>
  <c r="BL524" i="1"/>
  <c r="CM524" i="1"/>
  <c r="G525" i="1"/>
  <c r="W525" i="1"/>
  <c r="X525" i="1"/>
  <c r="Y525" i="1"/>
  <c r="BL525" i="1"/>
  <c r="CM525" i="1"/>
  <c r="G526" i="1"/>
  <c r="W526" i="1"/>
  <c r="X526" i="1"/>
  <c r="Y526" i="1"/>
  <c r="BL526" i="1"/>
  <c r="CM526" i="1"/>
  <c r="G527" i="1"/>
  <c r="W527" i="1"/>
  <c r="X527" i="1"/>
  <c r="Y527" i="1"/>
  <c r="BL527" i="1"/>
  <c r="CM527" i="1"/>
  <c r="G528" i="1"/>
  <c r="W528" i="1"/>
  <c r="X528" i="1"/>
  <c r="Y528" i="1"/>
  <c r="BL528" i="1"/>
  <c r="CM528" i="1"/>
  <c r="G529" i="1"/>
  <c r="W529" i="1"/>
  <c r="X529" i="1"/>
  <c r="Y529" i="1"/>
  <c r="BL529" i="1"/>
  <c r="CM529" i="1"/>
  <c r="G530" i="1"/>
  <c r="W530" i="1"/>
  <c r="X530" i="1"/>
  <c r="Y530" i="1"/>
  <c r="BL530" i="1"/>
  <c r="CM530" i="1"/>
  <c r="G531" i="1"/>
  <c r="W531" i="1"/>
  <c r="X531" i="1"/>
  <c r="Y531" i="1"/>
  <c r="BL531" i="1"/>
  <c r="CM531" i="1"/>
  <c r="G532" i="1"/>
  <c r="W532" i="1"/>
  <c r="X532" i="1"/>
  <c r="Y532" i="1"/>
  <c r="BL532" i="1"/>
  <c r="CM532" i="1"/>
  <c r="G533" i="1"/>
  <c r="W533" i="1"/>
  <c r="X533" i="1"/>
  <c r="Y533" i="1"/>
  <c r="BL533" i="1"/>
  <c r="CM533" i="1"/>
  <c r="G534" i="1"/>
  <c r="W534" i="1"/>
  <c r="X534" i="1"/>
  <c r="Y534" i="1"/>
  <c r="BL534" i="1"/>
  <c r="CM534" i="1"/>
  <c r="G535" i="1"/>
  <c r="W535" i="1"/>
  <c r="X535" i="1"/>
  <c r="Y535" i="1"/>
  <c r="BL535" i="1"/>
  <c r="CM535" i="1"/>
  <c r="G536" i="1"/>
  <c r="W536" i="1"/>
  <c r="X536" i="1"/>
  <c r="Y536" i="1"/>
  <c r="BL536" i="1"/>
  <c r="CM536" i="1"/>
  <c r="G537" i="1"/>
  <c r="W537" i="1"/>
  <c r="X537" i="1"/>
  <c r="Y537" i="1"/>
  <c r="BL537" i="1"/>
  <c r="CM537" i="1"/>
  <c r="G538" i="1"/>
  <c r="W538" i="1"/>
  <c r="X538" i="1"/>
  <c r="Y538" i="1"/>
  <c r="BL538" i="1"/>
  <c r="CM538" i="1"/>
  <c r="G539" i="1"/>
  <c r="W539" i="1"/>
  <c r="X539" i="1"/>
  <c r="Y539" i="1"/>
  <c r="BL539" i="1"/>
  <c r="CM539" i="1"/>
  <c r="G540" i="1"/>
  <c r="W540" i="1"/>
  <c r="X540" i="1"/>
  <c r="Y540" i="1"/>
  <c r="BL540" i="1"/>
  <c r="CM540" i="1"/>
  <c r="G541" i="1"/>
  <c r="W541" i="1"/>
  <c r="X541" i="1"/>
  <c r="Y541" i="1"/>
  <c r="BL541" i="1"/>
  <c r="CM541" i="1"/>
  <c r="G542" i="1"/>
  <c r="W542" i="1"/>
  <c r="X542" i="1"/>
  <c r="Y542" i="1"/>
  <c r="BL542" i="1"/>
  <c r="CM542" i="1"/>
  <c r="G543" i="1"/>
  <c r="W543" i="1"/>
  <c r="X543" i="1"/>
  <c r="Y543" i="1"/>
  <c r="BL543" i="1"/>
  <c r="CM543" i="1"/>
  <c r="G544" i="1"/>
  <c r="W544" i="1"/>
  <c r="X544" i="1"/>
  <c r="Y544" i="1"/>
  <c r="BL544" i="1"/>
  <c r="CM544" i="1"/>
  <c r="G545" i="1"/>
  <c r="W545" i="1"/>
  <c r="X545" i="1"/>
  <c r="Y545" i="1"/>
  <c r="BL545" i="1"/>
  <c r="CM545" i="1"/>
  <c r="G546" i="1"/>
  <c r="W546" i="1"/>
  <c r="X546" i="1"/>
  <c r="Y546" i="1"/>
  <c r="BL546" i="1"/>
  <c r="CM546" i="1"/>
  <c r="G547" i="1"/>
  <c r="W547" i="1"/>
  <c r="X547" i="1"/>
  <c r="Y547" i="1"/>
  <c r="BL547" i="1"/>
  <c r="CM547" i="1"/>
  <c r="G548" i="1"/>
  <c r="W548" i="1"/>
  <c r="X548" i="1"/>
  <c r="Y548" i="1"/>
  <c r="BL548" i="1"/>
  <c r="CM548" i="1"/>
  <c r="G549" i="1"/>
  <c r="W549" i="1"/>
  <c r="X549" i="1"/>
  <c r="Y549" i="1"/>
  <c r="BL549" i="1"/>
  <c r="CM549" i="1"/>
  <c r="G550" i="1"/>
  <c r="W550" i="1"/>
  <c r="X550" i="1"/>
  <c r="Y550" i="1"/>
  <c r="BL550" i="1"/>
  <c r="CM550" i="1"/>
  <c r="G551" i="1"/>
  <c r="W551" i="1"/>
  <c r="X551" i="1"/>
  <c r="Y551" i="1"/>
  <c r="BL551" i="1"/>
  <c r="CM551" i="1"/>
  <c r="G552" i="1"/>
  <c r="W552" i="1"/>
  <c r="X552" i="1"/>
  <c r="Y552" i="1"/>
  <c r="BL552" i="1"/>
  <c r="CM552" i="1"/>
  <c r="G553" i="1"/>
  <c r="W553" i="1"/>
  <c r="X553" i="1"/>
  <c r="Y553" i="1"/>
  <c r="BL553" i="1"/>
  <c r="CM553" i="1"/>
  <c r="G554" i="1"/>
  <c r="W554" i="1"/>
  <c r="X554" i="1"/>
  <c r="Y554" i="1"/>
  <c r="BL554" i="1"/>
  <c r="CM554" i="1"/>
  <c r="G555" i="1"/>
  <c r="W555" i="1"/>
  <c r="X555" i="1"/>
  <c r="Y555" i="1"/>
  <c r="BL555" i="1"/>
  <c r="CM555" i="1"/>
  <c r="G556" i="1"/>
  <c r="W556" i="1"/>
  <c r="X556" i="1"/>
  <c r="Y556" i="1"/>
  <c r="BL556" i="1"/>
  <c r="CM556" i="1"/>
  <c r="G557" i="1"/>
  <c r="W557" i="1"/>
  <c r="X557" i="1"/>
  <c r="Y557" i="1"/>
  <c r="BL557" i="1"/>
  <c r="CM557" i="1"/>
  <c r="G558" i="1"/>
  <c r="W558" i="1"/>
  <c r="X558" i="1"/>
  <c r="Y558" i="1"/>
  <c r="BL558" i="1"/>
  <c r="CM558" i="1"/>
  <c r="G559" i="1"/>
  <c r="W559" i="1"/>
  <c r="X559" i="1"/>
  <c r="Y559" i="1"/>
  <c r="BL559" i="1"/>
  <c r="CM559" i="1"/>
  <c r="G560" i="1"/>
  <c r="W560" i="1"/>
  <c r="X560" i="1"/>
  <c r="Y560" i="1"/>
  <c r="BL560" i="1"/>
  <c r="CM560" i="1"/>
  <c r="G561" i="1"/>
  <c r="W561" i="1"/>
  <c r="X561" i="1"/>
  <c r="Y561" i="1"/>
  <c r="BL561" i="1"/>
  <c r="CM561" i="1"/>
  <c r="G562" i="1"/>
  <c r="W562" i="1"/>
  <c r="X562" i="1"/>
  <c r="Y562" i="1"/>
  <c r="BL562" i="1"/>
  <c r="CM562" i="1"/>
  <c r="G563" i="1"/>
  <c r="W563" i="1"/>
  <c r="X563" i="1"/>
  <c r="Y563" i="1"/>
  <c r="BL563" i="1"/>
  <c r="CM563" i="1"/>
  <c r="G564" i="1"/>
  <c r="W564" i="1"/>
  <c r="X564" i="1"/>
  <c r="Y564" i="1"/>
  <c r="BL564" i="1"/>
  <c r="CM564" i="1"/>
  <c r="G565" i="1"/>
  <c r="W565" i="1"/>
  <c r="X565" i="1"/>
  <c r="Y565" i="1"/>
  <c r="BL565" i="1"/>
  <c r="CM565" i="1"/>
  <c r="G566" i="1"/>
  <c r="W566" i="1"/>
  <c r="X566" i="1"/>
  <c r="Y566" i="1"/>
  <c r="BL566" i="1"/>
  <c r="CM566" i="1"/>
  <c r="G567" i="1"/>
  <c r="W567" i="1"/>
  <c r="X567" i="1"/>
  <c r="Y567" i="1"/>
  <c r="BL567" i="1"/>
  <c r="CM567" i="1"/>
  <c r="G568" i="1"/>
  <c r="W568" i="1"/>
  <c r="X568" i="1"/>
  <c r="Y568" i="1"/>
  <c r="BL568" i="1"/>
  <c r="CM568" i="1"/>
  <c r="G569" i="1"/>
  <c r="W569" i="1"/>
  <c r="X569" i="1"/>
  <c r="Y569" i="1"/>
  <c r="BL569" i="1"/>
  <c r="CM569" i="1"/>
  <c r="G570" i="1"/>
  <c r="W570" i="1"/>
  <c r="X570" i="1"/>
  <c r="Y570" i="1"/>
  <c r="BL570" i="1"/>
  <c r="CM570" i="1"/>
  <c r="G571" i="1"/>
  <c r="W571" i="1"/>
  <c r="X571" i="1"/>
  <c r="Y571" i="1"/>
  <c r="BL571" i="1"/>
  <c r="CM571" i="1"/>
  <c r="G572" i="1"/>
  <c r="W572" i="1"/>
  <c r="X572" i="1"/>
  <c r="Y572" i="1"/>
  <c r="BL572" i="1"/>
  <c r="CM572" i="1"/>
  <c r="G573" i="1"/>
  <c r="W573" i="1"/>
  <c r="X573" i="1"/>
  <c r="Y573" i="1"/>
  <c r="BL573" i="1"/>
  <c r="CM573" i="1"/>
  <c r="BB562" i="1" l="1"/>
  <c r="BB450" i="1"/>
  <c r="BB434" i="1"/>
  <c r="BB306" i="1"/>
  <c r="BB226" i="1"/>
  <c r="BB162" i="1"/>
  <c r="BB42" i="1"/>
  <c r="D10" i="1"/>
  <c r="B10" i="1"/>
  <c r="C10" i="1" s="1"/>
  <c r="D34" i="1"/>
  <c r="B34" i="1"/>
  <c r="C34" i="1" s="1"/>
  <c r="D58" i="1"/>
  <c r="B58" i="1"/>
  <c r="C58" i="1" s="1"/>
  <c r="D82" i="1"/>
  <c r="B82" i="1"/>
  <c r="C82" i="1" s="1"/>
  <c r="D122" i="1"/>
  <c r="B122" i="1"/>
  <c r="C122" i="1" s="1"/>
  <c r="D154" i="1"/>
  <c r="B154" i="1"/>
  <c r="C154" i="1" s="1"/>
  <c r="D178" i="1"/>
  <c r="B178" i="1"/>
  <c r="C178" i="1" s="1"/>
  <c r="D194" i="1"/>
  <c r="B194" i="1"/>
  <c r="C194" i="1" s="1"/>
  <c r="D226" i="1"/>
  <c r="B226" i="1"/>
  <c r="C226" i="1" s="1"/>
  <c r="D250" i="1"/>
  <c r="B250" i="1"/>
  <c r="C250" i="1" s="1"/>
  <c r="D274" i="1"/>
  <c r="B274" i="1"/>
  <c r="C274" i="1" s="1"/>
  <c r="D298" i="1"/>
  <c r="B298" i="1"/>
  <c r="C298" i="1" s="1"/>
  <c r="D322" i="1"/>
  <c r="B322" i="1"/>
  <c r="C322" i="1" s="1"/>
  <c r="D338" i="1"/>
  <c r="B338" i="1"/>
  <c r="C338" i="1" s="1"/>
  <c r="D362" i="1"/>
  <c r="B362" i="1"/>
  <c r="C362" i="1" s="1"/>
  <c r="D386" i="1"/>
  <c r="B386" i="1"/>
  <c r="C386" i="1" s="1"/>
  <c r="D402" i="1"/>
  <c r="B402" i="1"/>
  <c r="C402" i="1" s="1"/>
  <c r="D426" i="1"/>
  <c r="B426" i="1"/>
  <c r="C426" i="1" s="1"/>
  <c r="D442" i="1"/>
  <c r="B442" i="1"/>
  <c r="C442" i="1" s="1"/>
  <c r="D466" i="1"/>
  <c r="B466" i="1"/>
  <c r="C466" i="1" s="1"/>
  <c r="D482" i="1"/>
  <c r="B482" i="1"/>
  <c r="C482" i="1" s="1"/>
  <c r="D498" i="1"/>
  <c r="B498" i="1"/>
  <c r="C498" i="1" s="1"/>
  <c r="D522" i="1"/>
  <c r="B522" i="1"/>
  <c r="C522" i="1" s="1"/>
  <c r="D546" i="1"/>
  <c r="B546" i="1"/>
  <c r="C546" i="1" s="1"/>
  <c r="D570" i="1"/>
  <c r="B570" i="1"/>
  <c r="C570" i="1" s="1"/>
  <c r="D459" i="1"/>
  <c r="B459" i="1"/>
  <c r="C459" i="1" s="1"/>
  <c r="BB451" i="1"/>
  <c r="BB355" i="1"/>
  <c r="BB323" i="1"/>
  <c r="BB315" i="1"/>
  <c r="BB307" i="1"/>
  <c r="BB299" i="1"/>
  <c r="BB291" i="1"/>
  <c r="BB283" i="1"/>
  <c r="BB275" i="1"/>
  <c r="BB267" i="1"/>
  <c r="BB259" i="1"/>
  <c r="BB251" i="1"/>
  <c r="BB243" i="1"/>
  <c r="BB235" i="1"/>
  <c r="BB227" i="1"/>
  <c r="BB219" i="1"/>
  <c r="BB211" i="1"/>
  <c r="BB203" i="1"/>
  <c r="BB195" i="1"/>
  <c r="BB187" i="1"/>
  <c r="BB179" i="1"/>
  <c r="BB171" i="1"/>
  <c r="BB163" i="1"/>
  <c r="BB155" i="1"/>
  <c r="BB147" i="1"/>
  <c r="BB139" i="1"/>
  <c r="BB131" i="1"/>
  <c r="BB123" i="1"/>
  <c r="BB115" i="1"/>
  <c r="BB107" i="1"/>
  <c r="BB99" i="1"/>
  <c r="BB91" i="1"/>
  <c r="BB83" i="1"/>
  <c r="BB75" i="1"/>
  <c r="BB67" i="1"/>
  <c r="BB59" i="1"/>
  <c r="BB51" i="1"/>
  <c r="BB43" i="1"/>
  <c r="BB35" i="1"/>
  <c r="BB27" i="1"/>
  <c r="BB19" i="1"/>
  <c r="BB11" i="1"/>
  <c r="D9" i="1"/>
  <c r="B9" i="1"/>
  <c r="C9" i="1" s="1"/>
  <c r="D17" i="1"/>
  <c r="B17" i="1"/>
  <c r="C17" i="1" s="1"/>
  <c r="D25" i="1"/>
  <c r="B25" i="1"/>
  <c r="C25" i="1" s="1"/>
  <c r="D33" i="1"/>
  <c r="B33" i="1"/>
  <c r="C33" i="1" s="1"/>
  <c r="D41" i="1"/>
  <c r="B41" i="1"/>
  <c r="C41" i="1" s="1"/>
  <c r="D49" i="1"/>
  <c r="B49" i="1"/>
  <c r="C49" i="1" s="1"/>
  <c r="D57" i="1"/>
  <c r="B57" i="1"/>
  <c r="C57" i="1" s="1"/>
  <c r="D65" i="1"/>
  <c r="B65" i="1"/>
  <c r="C65" i="1" s="1"/>
  <c r="D73" i="1"/>
  <c r="B73" i="1"/>
  <c r="C73" i="1" s="1"/>
  <c r="D81" i="1"/>
  <c r="B81" i="1"/>
  <c r="C81" i="1" s="1"/>
  <c r="D89" i="1"/>
  <c r="B89" i="1"/>
  <c r="C89" i="1" s="1"/>
  <c r="D97" i="1"/>
  <c r="B97" i="1"/>
  <c r="C97" i="1" s="1"/>
  <c r="D105" i="1"/>
  <c r="B105" i="1"/>
  <c r="C105" i="1" s="1"/>
  <c r="D113" i="1"/>
  <c r="B113" i="1"/>
  <c r="C113" i="1" s="1"/>
  <c r="D121" i="1"/>
  <c r="B121" i="1"/>
  <c r="C121" i="1" s="1"/>
  <c r="D129" i="1"/>
  <c r="B129" i="1"/>
  <c r="C129" i="1" s="1"/>
  <c r="D137" i="1"/>
  <c r="B137" i="1"/>
  <c r="C137" i="1" s="1"/>
  <c r="D145" i="1"/>
  <c r="B145" i="1"/>
  <c r="C145" i="1" s="1"/>
  <c r="D153" i="1"/>
  <c r="B153" i="1"/>
  <c r="C153" i="1" s="1"/>
  <c r="D161" i="1"/>
  <c r="B161" i="1"/>
  <c r="C161" i="1" s="1"/>
  <c r="D169" i="1"/>
  <c r="B169" i="1"/>
  <c r="C169" i="1" s="1"/>
  <c r="D177" i="1"/>
  <c r="B177" i="1"/>
  <c r="C177" i="1" s="1"/>
  <c r="D185" i="1"/>
  <c r="B185" i="1"/>
  <c r="C185" i="1" s="1"/>
  <c r="D193" i="1"/>
  <c r="B193" i="1"/>
  <c r="C193" i="1" s="1"/>
  <c r="D201" i="1"/>
  <c r="B201" i="1"/>
  <c r="C201" i="1" s="1"/>
  <c r="D209" i="1"/>
  <c r="B209" i="1"/>
  <c r="C209" i="1" s="1"/>
  <c r="D217" i="1"/>
  <c r="B217" i="1"/>
  <c r="C217" i="1" s="1"/>
  <c r="D225" i="1"/>
  <c r="B225" i="1"/>
  <c r="C225" i="1" s="1"/>
  <c r="D233" i="1"/>
  <c r="B233" i="1"/>
  <c r="C233" i="1" s="1"/>
  <c r="D241" i="1"/>
  <c r="B241" i="1"/>
  <c r="C241" i="1" s="1"/>
  <c r="D249" i="1"/>
  <c r="B249" i="1"/>
  <c r="C249" i="1" s="1"/>
  <c r="D257" i="1"/>
  <c r="B257" i="1"/>
  <c r="C257" i="1" s="1"/>
  <c r="D265" i="1"/>
  <c r="B265" i="1"/>
  <c r="C265" i="1" s="1"/>
  <c r="D273" i="1"/>
  <c r="B273" i="1"/>
  <c r="C273" i="1" s="1"/>
  <c r="D281" i="1"/>
  <c r="B281" i="1"/>
  <c r="C281" i="1" s="1"/>
  <c r="D289" i="1"/>
  <c r="B289" i="1"/>
  <c r="C289" i="1" s="1"/>
  <c r="D297" i="1"/>
  <c r="B297" i="1"/>
  <c r="C297" i="1" s="1"/>
  <c r="D305" i="1"/>
  <c r="B305" i="1"/>
  <c r="C305" i="1" s="1"/>
  <c r="D313" i="1"/>
  <c r="B313" i="1"/>
  <c r="C313" i="1" s="1"/>
  <c r="D321" i="1"/>
  <c r="B321" i="1"/>
  <c r="C321" i="1" s="1"/>
  <c r="D329" i="1"/>
  <c r="B329" i="1"/>
  <c r="C329" i="1" s="1"/>
  <c r="D337" i="1"/>
  <c r="B337" i="1"/>
  <c r="C337" i="1" s="1"/>
  <c r="D345" i="1"/>
  <c r="B345" i="1"/>
  <c r="C345" i="1" s="1"/>
  <c r="D353" i="1"/>
  <c r="B353" i="1"/>
  <c r="C353" i="1" s="1"/>
  <c r="D361" i="1"/>
  <c r="B361" i="1"/>
  <c r="C361" i="1" s="1"/>
  <c r="D369" i="1"/>
  <c r="B369" i="1"/>
  <c r="C369" i="1" s="1"/>
  <c r="D377" i="1"/>
  <c r="B377" i="1"/>
  <c r="C377" i="1" s="1"/>
  <c r="D385" i="1"/>
  <c r="B385" i="1"/>
  <c r="C385" i="1" s="1"/>
  <c r="D393" i="1"/>
  <c r="B393" i="1"/>
  <c r="C393" i="1" s="1"/>
  <c r="D401" i="1"/>
  <c r="B401" i="1"/>
  <c r="C401" i="1" s="1"/>
  <c r="D409" i="1"/>
  <c r="B409" i="1"/>
  <c r="C409" i="1" s="1"/>
  <c r="D417" i="1"/>
  <c r="B417" i="1"/>
  <c r="C417" i="1" s="1"/>
  <c r="D425" i="1"/>
  <c r="B425" i="1"/>
  <c r="C425" i="1" s="1"/>
  <c r="D433" i="1"/>
  <c r="B433" i="1"/>
  <c r="C433" i="1" s="1"/>
  <c r="D441" i="1"/>
  <c r="B441" i="1"/>
  <c r="C441" i="1" s="1"/>
  <c r="D449" i="1"/>
  <c r="B449" i="1"/>
  <c r="C449" i="1" s="1"/>
  <c r="D457" i="1"/>
  <c r="B457" i="1"/>
  <c r="C457" i="1" s="1"/>
  <c r="D465" i="1"/>
  <c r="B465" i="1"/>
  <c r="C465" i="1" s="1"/>
  <c r="D473" i="1"/>
  <c r="B473" i="1"/>
  <c r="C473" i="1" s="1"/>
  <c r="D481" i="1"/>
  <c r="B481" i="1"/>
  <c r="C481" i="1" s="1"/>
  <c r="D489" i="1"/>
  <c r="B489" i="1"/>
  <c r="C489" i="1" s="1"/>
  <c r="D497" i="1"/>
  <c r="B497" i="1"/>
  <c r="C497" i="1" s="1"/>
  <c r="D505" i="1"/>
  <c r="B505" i="1"/>
  <c r="C505" i="1" s="1"/>
  <c r="D513" i="1"/>
  <c r="B513" i="1"/>
  <c r="C513" i="1" s="1"/>
  <c r="D521" i="1"/>
  <c r="B521" i="1"/>
  <c r="C521" i="1" s="1"/>
  <c r="D529" i="1"/>
  <c r="B529" i="1"/>
  <c r="C529" i="1" s="1"/>
  <c r="D537" i="1"/>
  <c r="B537" i="1"/>
  <c r="C537" i="1" s="1"/>
  <c r="D545" i="1"/>
  <c r="B545" i="1"/>
  <c r="C545" i="1" s="1"/>
  <c r="D553" i="1"/>
  <c r="B553" i="1"/>
  <c r="C553" i="1" s="1"/>
  <c r="D561" i="1"/>
  <c r="B561" i="1"/>
  <c r="C561" i="1" s="1"/>
  <c r="D569" i="1"/>
  <c r="B569" i="1"/>
  <c r="C569" i="1" s="1"/>
  <c r="D18" i="1"/>
  <c r="B18" i="1"/>
  <c r="C18" i="1" s="1"/>
  <c r="D50" i="1"/>
  <c r="B50" i="1"/>
  <c r="C50" i="1" s="1"/>
  <c r="D74" i="1"/>
  <c r="B74" i="1"/>
  <c r="C74" i="1" s="1"/>
  <c r="D130" i="1"/>
  <c r="B130" i="1"/>
  <c r="C130" i="1" s="1"/>
  <c r="D530" i="1"/>
  <c r="B530" i="1"/>
  <c r="C530" i="1" s="1"/>
  <c r="D90" i="1"/>
  <c r="B90" i="1"/>
  <c r="C90" i="1" s="1"/>
  <c r="D106" i="1"/>
  <c r="B106" i="1"/>
  <c r="C106" i="1" s="1"/>
  <c r="D138" i="1"/>
  <c r="B138" i="1"/>
  <c r="C138" i="1" s="1"/>
  <c r="D162" i="1"/>
  <c r="B162" i="1"/>
  <c r="C162" i="1" s="1"/>
  <c r="D186" i="1"/>
  <c r="B186" i="1"/>
  <c r="C186" i="1" s="1"/>
  <c r="D210" i="1"/>
  <c r="B210" i="1"/>
  <c r="C210" i="1" s="1"/>
  <c r="D234" i="1"/>
  <c r="B234" i="1"/>
  <c r="C234" i="1" s="1"/>
  <c r="D258" i="1"/>
  <c r="B258" i="1"/>
  <c r="C258" i="1" s="1"/>
  <c r="D282" i="1"/>
  <c r="B282" i="1"/>
  <c r="C282" i="1" s="1"/>
  <c r="D306" i="1"/>
  <c r="B306" i="1"/>
  <c r="C306" i="1" s="1"/>
  <c r="D314" i="1"/>
  <c r="B314" i="1"/>
  <c r="C314" i="1" s="1"/>
  <c r="D346" i="1"/>
  <c r="B346" i="1"/>
  <c r="C346" i="1" s="1"/>
  <c r="D370" i="1"/>
  <c r="B370" i="1"/>
  <c r="C370" i="1" s="1"/>
  <c r="D418" i="1"/>
  <c r="B418" i="1"/>
  <c r="C418" i="1" s="1"/>
  <c r="D538" i="1"/>
  <c r="B538" i="1"/>
  <c r="C538" i="1" s="1"/>
  <c r="D3" i="1"/>
  <c r="B3" i="1"/>
  <c r="C3" i="1" s="1"/>
  <c r="D11" i="1"/>
  <c r="B11" i="1"/>
  <c r="C11" i="1" s="1"/>
  <c r="D19" i="1"/>
  <c r="B19" i="1"/>
  <c r="C19" i="1" s="1"/>
  <c r="D43" i="1"/>
  <c r="B43" i="1"/>
  <c r="C43" i="1" s="1"/>
  <c r="D59" i="1"/>
  <c r="B59" i="1"/>
  <c r="C59" i="1" s="1"/>
  <c r="D75" i="1"/>
  <c r="B75" i="1"/>
  <c r="C75" i="1" s="1"/>
  <c r="D91" i="1"/>
  <c r="B91" i="1"/>
  <c r="C91" i="1" s="1"/>
  <c r="D107" i="1"/>
  <c r="B107" i="1"/>
  <c r="C107" i="1" s="1"/>
  <c r="D123" i="1"/>
  <c r="B123" i="1"/>
  <c r="C123" i="1" s="1"/>
  <c r="D139" i="1"/>
  <c r="B139" i="1"/>
  <c r="C139" i="1" s="1"/>
  <c r="D147" i="1"/>
  <c r="B147" i="1"/>
  <c r="C147" i="1" s="1"/>
  <c r="D163" i="1"/>
  <c r="B163" i="1"/>
  <c r="C163" i="1" s="1"/>
  <c r="D179" i="1"/>
  <c r="B179" i="1"/>
  <c r="C179" i="1" s="1"/>
  <c r="D203" i="1"/>
  <c r="B203" i="1"/>
  <c r="C203" i="1" s="1"/>
  <c r="D211" i="1"/>
  <c r="B211" i="1"/>
  <c r="C211" i="1" s="1"/>
  <c r="D227" i="1"/>
  <c r="B227" i="1"/>
  <c r="C227" i="1" s="1"/>
  <c r="D243" i="1"/>
  <c r="B243" i="1"/>
  <c r="C243" i="1" s="1"/>
  <c r="D267" i="1"/>
  <c r="B267" i="1"/>
  <c r="C267" i="1" s="1"/>
  <c r="D283" i="1"/>
  <c r="B283" i="1"/>
  <c r="C283" i="1" s="1"/>
  <c r="D299" i="1"/>
  <c r="B299" i="1"/>
  <c r="C299" i="1" s="1"/>
  <c r="D323" i="1"/>
  <c r="B323" i="1"/>
  <c r="C323" i="1" s="1"/>
  <c r="D339" i="1"/>
  <c r="B339" i="1"/>
  <c r="C339" i="1" s="1"/>
  <c r="D355" i="1"/>
  <c r="B355" i="1"/>
  <c r="C355" i="1" s="1"/>
  <c r="D371" i="1"/>
  <c r="B371" i="1"/>
  <c r="C371" i="1" s="1"/>
  <c r="D387" i="1"/>
  <c r="B387" i="1"/>
  <c r="C387" i="1" s="1"/>
  <c r="D403" i="1"/>
  <c r="B403" i="1"/>
  <c r="C403" i="1" s="1"/>
  <c r="D419" i="1"/>
  <c r="B419" i="1"/>
  <c r="C419" i="1" s="1"/>
  <c r="D435" i="1"/>
  <c r="B435" i="1"/>
  <c r="C435" i="1" s="1"/>
  <c r="D467" i="1"/>
  <c r="B467" i="1"/>
  <c r="C467" i="1" s="1"/>
  <c r="D483" i="1"/>
  <c r="B483" i="1"/>
  <c r="C483" i="1" s="1"/>
  <c r="D499" i="1"/>
  <c r="B499" i="1"/>
  <c r="C499" i="1" s="1"/>
  <c r="D515" i="1"/>
  <c r="B515" i="1"/>
  <c r="C515" i="1" s="1"/>
  <c r="D531" i="1"/>
  <c r="B531" i="1"/>
  <c r="C531" i="1" s="1"/>
  <c r="D563" i="1"/>
  <c r="B563" i="1"/>
  <c r="C563" i="1" s="1"/>
  <c r="BB530" i="1"/>
  <c r="BB482" i="1"/>
  <c r="BB354" i="1"/>
  <c r="BB274" i="1"/>
  <c r="BB130" i="1"/>
  <c r="D4" i="1"/>
  <c r="B4" i="1"/>
  <c r="C4" i="1" s="1"/>
  <c r="D12" i="1"/>
  <c r="B12" i="1"/>
  <c r="C12" i="1" s="1"/>
  <c r="D20" i="1"/>
  <c r="B20" i="1"/>
  <c r="C20" i="1" s="1"/>
  <c r="D28" i="1"/>
  <c r="B28" i="1"/>
  <c r="C28" i="1" s="1"/>
  <c r="D36" i="1"/>
  <c r="B36" i="1"/>
  <c r="C36" i="1" s="1"/>
  <c r="D44" i="1"/>
  <c r="B44" i="1"/>
  <c r="C44" i="1" s="1"/>
  <c r="D52" i="1"/>
  <c r="B52" i="1"/>
  <c r="C52" i="1" s="1"/>
  <c r="D60" i="1"/>
  <c r="B60" i="1"/>
  <c r="C60" i="1" s="1"/>
  <c r="D68" i="1"/>
  <c r="B68" i="1"/>
  <c r="C68" i="1" s="1"/>
  <c r="D76" i="1"/>
  <c r="B76" i="1"/>
  <c r="C76" i="1" s="1"/>
  <c r="D84" i="1"/>
  <c r="B84" i="1"/>
  <c r="C84" i="1" s="1"/>
  <c r="D92" i="1"/>
  <c r="B92" i="1"/>
  <c r="C92" i="1" s="1"/>
  <c r="D100" i="1"/>
  <c r="B100" i="1"/>
  <c r="C100" i="1" s="1"/>
  <c r="D108" i="1"/>
  <c r="B108" i="1"/>
  <c r="C108" i="1" s="1"/>
  <c r="D116" i="1"/>
  <c r="B116" i="1"/>
  <c r="C116" i="1" s="1"/>
  <c r="D124" i="1"/>
  <c r="B124" i="1"/>
  <c r="C124" i="1" s="1"/>
  <c r="D132" i="1"/>
  <c r="B132" i="1"/>
  <c r="C132" i="1" s="1"/>
  <c r="D140" i="1"/>
  <c r="B140" i="1"/>
  <c r="C140" i="1" s="1"/>
  <c r="D148" i="1"/>
  <c r="B148" i="1"/>
  <c r="C148" i="1" s="1"/>
  <c r="D156" i="1"/>
  <c r="B156" i="1"/>
  <c r="C156" i="1" s="1"/>
  <c r="D164" i="1"/>
  <c r="B164" i="1"/>
  <c r="C164" i="1" s="1"/>
  <c r="D172" i="1"/>
  <c r="B172" i="1"/>
  <c r="C172" i="1" s="1"/>
  <c r="D180" i="1"/>
  <c r="B180" i="1"/>
  <c r="C180" i="1" s="1"/>
  <c r="D188" i="1"/>
  <c r="B188" i="1"/>
  <c r="C188" i="1" s="1"/>
  <c r="D196" i="1"/>
  <c r="B196" i="1"/>
  <c r="C196" i="1" s="1"/>
  <c r="D204" i="1"/>
  <c r="B204" i="1"/>
  <c r="C204" i="1" s="1"/>
  <c r="D212" i="1"/>
  <c r="B212" i="1"/>
  <c r="C212" i="1" s="1"/>
  <c r="D220" i="1"/>
  <c r="B220" i="1"/>
  <c r="C220" i="1" s="1"/>
  <c r="D228" i="1"/>
  <c r="B228" i="1"/>
  <c r="C228" i="1" s="1"/>
  <c r="D236" i="1"/>
  <c r="B236" i="1"/>
  <c r="C236" i="1" s="1"/>
  <c r="D244" i="1"/>
  <c r="B244" i="1"/>
  <c r="C244" i="1" s="1"/>
  <c r="D252" i="1"/>
  <c r="B252" i="1"/>
  <c r="C252" i="1" s="1"/>
  <c r="D260" i="1"/>
  <c r="B260" i="1"/>
  <c r="C260" i="1" s="1"/>
  <c r="D268" i="1"/>
  <c r="B268" i="1"/>
  <c r="C268" i="1" s="1"/>
  <c r="D276" i="1"/>
  <c r="B276" i="1"/>
  <c r="C276" i="1" s="1"/>
  <c r="D284" i="1"/>
  <c r="B284" i="1"/>
  <c r="C284" i="1" s="1"/>
  <c r="D292" i="1"/>
  <c r="B292" i="1"/>
  <c r="C292" i="1" s="1"/>
  <c r="D300" i="1"/>
  <c r="B300" i="1"/>
  <c r="C300" i="1" s="1"/>
  <c r="D308" i="1"/>
  <c r="B308" i="1"/>
  <c r="C308" i="1" s="1"/>
  <c r="D316" i="1"/>
  <c r="B316" i="1"/>
  <c r="C316" i="1" s="1"/>
  <c r="D324" i="1"/>
  <c r="B324" i="1"/>
  <c r="C324" i="1" s="1"/>
  <c r="D332" i="1"/>
  <c r="B332" i="1"/>
  <c r="C332" i="1" s="1"/>
  <c r="D340" i="1"/>
  <c r="B340" i="1"/>
  <c r="C340" i="1" s="1"/>
  <c r="D348" i="1"/>
  <c r="B348" i="1"/>
  <c r="C348" i="1" s="1"/>
  <c r="D356" i="1"/>
  <c r="B356" i="1"/>
  <c r="C356" i="1" s="1"/>
  <c r="D364" i="1"/>
  <c r="B364" i="1"/>
  <c r="C364" i="1" s="1"/>
  <c r="D372" i="1"/>
  <c r="B372" i="1"/>
  <c r="C372" i="1" s="1"/>
  <c r="D380" i="1"/>
  <c r="B380" i="1"/>
  <c r="C380" i="1" s="1"/>
  <c r="D388" i="1"/>
  <c r="B388" i="1"/>
  <c r="C388" i="1" s="1"/>
  <c r="D396" i="1"/>
  <c r="B396" i="1"/>
  <c r="C396" i="1" s="1"/>
  <c r="D404" i="1"/>
  <c r="B404" i="1"/>
  <c r="C404" i="1" s="1"/>
  <c r="D412" i="1"/>
  <c r="B412" i="1"/>
  <c r="C412" i="1" s="1"/>
  <c r="D420" i="1"/>
  <c r="B420" i="1"/>
  <c r="C420" i="1" s="1"/>
  <c r="D428" i="1"/>
  <c r="B428" i="1"/>
  <c r="C428" i="1" s="1"/>
  <c r="D436" i="1"/>
  <c r="B436" i="1"/>
  <c r="C436" i="1" s="1"/>
  <c r="D444" i="1"/>
  <c r="B444" i="1"/>
  <c r="C444" i="1" s="1"/>
  <c r="D452" i="1"/>
  <c r="B452" i="1"/>
  <c r="C452" i="1" s="1"/>
  <c r="D460" i="1"/>
  <c r="B460" i="1"/>
  <c r="C460" i="1" s="1"/>
  <c r="D468" i="1"/>
  <c r="B468" i="1"/>
  <c r="C468" i="1" s="1"/>
  <c r="D476" i="1"/>
  <c r="B476" i="1"/>
  <c r="C476" i="1" s="1"/>
  <c r="D484" i="1"/>
  <c r="B484" i="1"/>
  <c r="C484" i="1" s="1"/>
  <c r="D492" i="1"/>
  <c r="B492" i="1"/>
  <c r="C492" i="1" s="1"/>
  <c r="D500" i="1"/>
  <c r="B500" i="1"/>
  <c r="C500" i="1" s="1"/>
  <c r="D508" i="1"/>
  <c r="B508" i="1"/>
  <c r="C508" i="1" s="1"/>
  <c r="D516" i="1"/>
  <c r="B516" i="1"/>
  <c r="C516" i="1" s="1"/>
  <c r="D524" i="1"/>
  <c r="B524" i="1"/>
  <c r="C524" i="1" s="1"/>
  <c r="D532" i="1"/>
  <c r="B532" i="1"/>
  <c r="C532" i="1" s="1"/>
  <c r="D540" i="1"/>
  <c r="B540" i="1"/>
  <c r="C540" i="1" s="1"/>
  <c r="D548" i="1"/>
  <c r="B548" i="1"/>
  <c r="C548" i="1" s="1"/>
  <c r="D556" i="1"/>
  <c r="B556" i="1"/>
  <c r="C556" i="1" s="1"/>
  <c r="D564" i="1"/>
  <c r="B564" i="1"/>
  <c r="C564" i="1" s="1"/>
  <c r="D572" i="1"/>
  <c r="B572" i="1"/>
  <c r="C572" i="1" s="1"/>
  <c r="D27" i="1"/>
  <c r="B27" i="1"/>
  <c r="C27" i="1" s="1"/>
  <c r="D35" i="1"/>
  <c r="B35" i="1"/>
  <c r="C35" i="1" s="1"/>
  <c r="D51" i="1"/>
  <c r="B51" i="1"/>
  <c r="C51" i="1" s="1"/>
  <c r="D67" i="1"/>
  <c r="B67" i="1"/>
  <c r="C67" i="1" s="1"/>
  <c r="D83" i="1"/>
  <c r="B83" i="1"/>
  <c r="C83" i="1" s="1"/>
  <c r="D99" i="1"/>
  <c r="B99" i="1"/>
  <c r="C99" i="1" s="1"/>
  <c r="D115" i="1"/>
  <c r="B115" i="1"/>
  <c r="C115" i="1" s="1"/>
  <c r="D131" i="1"/>
  <c r="B131" i="1"/>
  <c r="C131" i="1" s="1"/>
  <c r="D155" i="1"/>
  <c r="B155" i="1"/>
  <c r="C155" i="1" s="1"/>
  <c r="D171" i="1"/>
  <c r="B171" i="1"/>
  <c r="C171" i="1" s="1"/>
  <c r="D187" i="1"/>
  <c r="B187" i="1"/>
  <c r="C187" i="1" s="1"/>
  <c r="D219" i="1"/>
  <c r="B219" i="1"/>
  <c r="C219" i="1" s="1"/>
  <c r="D235" i="1"/>
  <c r="B235" i="1"/>
  <c r="C235" i="1" s="1"/>
  <c r="D251" i="1"/>
  <c r="B251" i="1"/>
  <c r="C251" i="1" s="1"/>
  <c r="D259" i="1"/>
  <c r="B259" i="1"/>
  <c r="C259" i="1" s="1"/>
  <c r="D275" i="1"/>
  <c r="B275" i="1"/>
  <c r="C275" i="1" s="1"/>
  <c r="D291" i="1"/>
  <c r="B291" i="1"/>
  <c r="C291" i="1" s="1"/>
  <c r="D307" i="1"/>
  <c r="B307" i="1"/>
  <c r="C307" i="1" s="1"/>
  <c r="D315" i="1"/>
  <c r="B315" i="1"/>
  <c r="C315" i="1" s="1"/>
  <c r="D331" i="1"/>
  <c r="B331" i="1"/>
  <c r="C331" i="1" s="1"/>
  <c r="D347" i="1"/>
  <c r="B347" i="1"/>
  <c r="C347" i="1" s="1"/>
  <c r="D363" i="1"/>
  <c r="B363" i="1"/>
  <c r="C363" i="1" s="1"/>
  <c r="D379" i="1"/>
  <c r="B379" i="1"/>
  <c r="C379" i="1" s="1"/>
  <c r="D395" i="1"/>
  <c r="B395" i="1"/>
  <c r="C395" i="1" s="1"/>
  <c r="D411" i="1"/>
  <c r="B411" i="1"/>
  <c r="C411" i="1" s="1"/>
  <c r="D427" i="1"/>
  <c r="B427" i="1"/>
  <c r="C427" i="1" s="1"/>
  <c r="D443" i="1"/>
  <c r="B443" i="1"/>
  <c r="C443" i="1" s="1"/>
  <c r="D475" i="1"/>
  <c r="B475" i="1"/>
  <c r="C475" i="1" s="1"/>
  <c r="D491" i="1"/>
  <c r="B491" i="1"/>
  <c r="C491" i="1" s="1"/>
  <c r="D507" i="1"/>
  <c r="B507" i="1"/>
  <c r="C507" i="1" s="1"/>
  <c r="D523" i="1"/>
  <c r="B523" i="1"/>
  <c r="C523" i="1" s="1"/>
  <c r="D539" i="1"/>
  <c r="B539" i="1"/>
  <c r="C539" i="1" s="1"/>
  <c r="D547" i="1"/>
  <c r="B547" i="1"/>
  <c r="C547" i="1" s="1"/>
  <c r="D555" i="1"/>
  <c r="B555" i="1"/>
  <c r="C555" i="1" s="1"/>
  <c r="D571" i="1"/>
  <c r="B571" i="1"/>
  <c r="C571" i="1" s="1"/>
  <c r="D5" i="1"/>
  <c r="B5" i="1"/>
  <c r="C5" i="1" s="1"/>
  <c r="D13" i="1"/>
  <c r="B13" i="1"/>
  <c r="C13" i="1" s="1"/>
  <c r="D21" i="1"/>
  <c r="B21" i="1"/>
  <c r="C21" i="1" s="1"/>
  <c r="D29" i="1"/>
  <c r="B29" i="1"/>
  <c r="C29" i="1" s="1"/>
  <c r="D37" i="1"/>
  <c r="B37" i="1"/>
  <c r="C37" i="1" s="1"/>
  <c r="D45" i="1"/>
  <c r="B45" i="1"/>
  <c r="C45" i="1" s="1"/>
  <c r="D53" i="1"/>
  <c r="B53" i="1"/>
  <c r="C53" i="1" s="1"/>
  <c r="D61" i="1"/>
  <c r="B61" i="1"/>
  <c r="C61" i="1" s="1"/>
  <c r="D69" i="1"/>
  <c r="B69" i="1"/>
  <c r="C69" i="1" s="1"/>
  <c r="D77" i="1"/>
  <c r="B77" i="1"/>
  <c r="C77" i="1" s="1"/>
  <c r="D85" i="1"/>
  <c r="B85" i="1"/>
  <c r="C85" i="1" s="1"/>
  <c r="D93" i="1"/>
  <c r="B93" i="1"/>
  <c r="C93" i="1" s="1"/>
  <c r="D101" i="1"/>
  <c r="B101" i="1"/>
  <c r="C101" i="1" s="1"/>
  <c r="D109" i="1"/>
  <c r="B109" i="1"/>
  <c r="C109" i="1" s="1"/>
  <c r="D117" i="1"/>
  <c r="B117" i="1"/>
  <c r="C117" i="1" s="1"/>
  <c r="D125" i="1"/>
  <c r="B125" i="1"/>
  <c r="C125" i="1" s="1"/>
  <c r="D133" i="1"/>
  <c r="B133" i="1"/>
  <c r="C133" i="1" s="1"/>
  <c r="D141" i="1"/>
  <c r="B141" i="1"/>
  <c r="C141" i="1" s="1"/>
  <c r="D149" i="1"/>
  <c r="B149" i="1"/>
  <c r="C149" i="1" s="1"/>
  <c r="D157" i="1"/>
  <c r="B157" i="1"/>
  <c r="C157" i="1" s="1"/>
  <c r="D165" i="1"/>
  <c r="B165" i="1"/>
  <c r="C165" i="1" s="1"/>
  <c r="D173" i="1"/>
  <c r="B173" i="1"/>
  <c r="C173" i="1" s="1"/>
  <c r="D181" i="1"/>
  <c r="B181" i="1"/>
  <c r="C181" i="1" s="1"/>
  <c r="D189" i="1"/>
  <c r="B189" i="1"/>
  <c r="C189" i="1" s="1"/>
  <c r="D197" i="1"/>
  <c r="B197" i="1"/>
  <c r="C197" i="1" s="1"/>
  <c r="D205" i="1"/>
  <c r="B205" i="1"/>
  <c r="C205" i="1" s="1"/>
  <c r="D213" i="1"/>
  <c r="B213" i="1"/>
  <c r="C213" i="1" s="1"/>
  <c r="D221" i="1"/>
  <c r="B221" i="1"/>
  <c r="C221" i="1" s="1"/>
  <c r="D229" i="1"/>
  <c r="B229" i="1"/>
  <c r="C229" i="1" s="1"/>
  <c r="D237" i="1"/>
  <c r="B237" i="1"/>
  <c r="C237" i="1" s="1"/>
  <c r="D245" i="1"/>
  <c r="B245" i="1"/>
  <c r="C245" i="1" s="1"/>
  <c r="D253" i="1"/>
  <c r="B253" i="1"/>
  <c r="C253" i="1" s="1"/>
  <c r="D261" i="1"/>
  <c r="B261" i="1"/>
  <c r="C261" i="1" s="1"/>
  <c r="D269" i="1"/>
  <c r="B269" i="1"/>
  <c r="C269" i="1" s="1"/>
  <c r="D277" i="1"/>
  <c r="B277" i="1"/>
  <c r="C277" i="1" s="1"/>
  <c r="D285" i="1"/>
  <c r="B285" i="1"/>
  <c r="C285" i="1" s="1"/>
  <c r="D293" i="1"/>
  <c r="B293" i="1"/>
  <c r="C293" i="1" s="1"/>
  <c r="D301" i="1"/>
  <c r="B301" i="1"/>
  <c r="C301" i="1" s="1"/>
  <c r="D309" i="1"/>
  <c r="B309" i="1"/>
  <c r="C309" i="1" s="1"/>
  <c r="D317" i="1"/>
  <c r="B317" i="1"/>
  <c r="C317" i="1" s="1"/>
  <c r="D325" i="1"/>
  <c r="B325" i="1"/>
  <c r="C325" i="1" s="1"/>
  <c r="D333" i="1"/>
  <c r="B333" i="1"/>
  <c r="C333" i="1" s="1"/>
  <c r="D341" i="1"/>
  <c r="B341" i="1"/>
  <c r="C341" i="1" s="1"/>
  <c r="D349" i="1"/>
  <c r="B349" i="1"/>
  <c r="C349" i="1" s="1"/>
  <c r="D357" i="1"/>
  <c r="B357" i="1"/>
  <c r="C357" i="1" s="1"/>
  <c r="D365" i="1"/>
  <c r="B365" i="1"/>
  <c r="C365" i="1" s="1"/>
  <c r="D373" i="1"/>
  <c r="B373" i="1"/>
  <c r="C373" i="1" s="1"/>
  <c r="D381" i="1"/>
  <c r="B381" i="1"/>
  <c r="C381" i="1" s="1"/>
  <c r="D389" i="1"/>
  <c r="B389" i="1"/>
  <c r="C389" i="1" s="1"/>
  <c r="D397" i="1"/>
  <c r="B397" i="1"/>
  <c r="C397" i="1" s="1"/>
  <c r="D405" i="1"/>
  <c r="B405" i="1"/>
  <c r="C405" i="1" s="1"/>
  <c r="D413" i="1"/>
  <c r="B413" i="1"/>
  <c r="C413" i="1" s="1"/>
  <c r="D421" i="1"/>
  <c r="B421" i="1"/>
  <c r="C421" i="1" s="1"/>
  <c r="D429" i="1"/>
  <c r="B429" i="1"/>
  <c r="C429" i="1" s="1"/>
  <c r="D437" i="1"/>
  <c r="B437" i="1"/>
  <c r="C437" i="1" s="1"/>
  <c r="D445" i="1"/>
  <c r="B445" i="1"/>
  <c r="C445" i="1" s="1"/>
  <c r="D453" i="1"/>
  <c r="B453" i="1"/>
  <c r="C453" i="1" s="1"/>
  <c r="D461" i="1"/>
  <c r="B461" i="1"/>
  <c r="C461" i="1" s="1"/>
  <c r="D469" i="1"/>
  <c r="B469" i="1"/>
  <c r="C469" i="1" s="1"/>
  <c r="D477" i="1"/>
  <c r="B477" i="1"/>
  <c r="C477" i="1" s="1"/>
  <c r="D485" i="1"/>
  <c r="B485" i="1"/>
  <c r="C485" i="1" s="1"/>
  <c r="D493" i="1"/>
  <c r="B493" i="1"/>
  <c r="C493" i="1" s="1"/>
  <c r="D501" i="1"/>
  <c r="B501" i="1"/>
  <c r="C501" i="1" s="1"/>
  <c r="D509" i="1"/>
  <c r="B509" i="1"/>
  <c r="C509" i="1" s="1"/>
  <c r="D517" i="1"/>
  <c r="B517" i="1"/>
  <c r="C517" i="1" s="1"/>
  <c r="D525" i="1"/>
  <c r="B525" i="1"/>
  <c r="C525" i="1" s="1"/>
  <c r="D533" i="1"/>
  <c r="B533" i="1"/>
  <c r="C533" i="1" s="1"/>
  <c r="D541" i="1"/>
  <c r="B541" i="1"/>
  <c r="C541" i="1" s="1"/>
  <c r="D549" i="1"/>
  <c r="B549" i="1"/>
  <c r="C549" i="1" s="1"/>
  <c r="D557" i="1"/>
  <c r="B557" i="1"/>
  <c r="C557" i="1" s="1"/>
  <c r="D565" i="1"/>
  <c r="B565" i="1"/>
  <c r="C565" i="1" s="1"/>
  <c r="D573" i="1"/>
  <c r="B573" i="1"/>
  <c r="C573" i="1" s="1"/>
  <c r="D26" i="1"/>
  <c r="B26" i="1"/>
  <c r="C26" i="1" s="1"/>
  <c r="BB366" i="1"/>
  <c r="BB358" i="1"/>
  <c r="BB350" i="1"/>
  <c r="BB342" i="1"/>
  <c r="BB334" i="1"/>
  <c r="BB326" i="1"/>
  <c r="BB318" i="1"/>
  <c r="BB310" i="1"/>
  <c r="BB302" i="1"/>
  <c r="BB294" i="1"/>
  <c r="BB286" i="1"/>
  <c r="BB278" i="1"/>
  <c r="BB270" i="1"/>
  <c r="BB262" i="1"/>
  <c r="BB254" i="1"/>
  <c r="BB246" i="1"/>
  <c r="BB238" i="1"/>
  <c r="BB230" i="1"/>
  <c r="BB222" i="1"/>
  <c r="BB214" i="1"/>
  <c r="BB206" i="1"/>
  <c r="BB198" i="1"/>
  <c r="BB190" i="1"/>
  <c r="BB182" i="1"/>
  <c r="BB174" i="1"/>
  <c r="BB166" i="1"/>
  <c r="BB158" i="1"/>
  <c r="BB150" i="1"/>
  <c r="BB142" i="1"/>
  <c r="BB134" i="1"/>
  <c r="BB126" i="1"/>
  <c r="BB118" i="1"/>
  <c r="BB110" i="1"/>
  <c r="BB102" i="1"/>
  <c r="BB94" i="1"/>
  <c r="BB86" i="1"/>
  <c r="BB78" i="1"/>
  <c r="BB70" i="1"/>
  <c r="BB62" i="1"/>
  <c r="BB54" i="1"/>
  <c r="BB46" i="1"/>
  <c r="BB38" i="1"/>
  <c r="BB30" i="1"/>
  <c r="BB22" i="1"/>
  <c r="BB14" i="1"/>
  <c r="BB6" i="1"/>
  <c r="D6" i="1"/>
  <c r="B6" i="1"/>
  <c r="C6" i="1" s="1"/>
  <c r="D14" i="1"/>
  <c r="B14" i="1"/>
  <c r="C14" i="1" s="1"/>
  <c r="D22" i="1"/>
  <c r="B22" i="1"/>
  <c r="C22" i="1" s="1"/>
  <c r="D30" i="1"/>
  <c r="B30" i="1"/>
  <c r="C30" i="1" s="1"/>
  <c r="D38" i="1"/>
  <c r="B38" i="1"/>
  <c r="C38" i="1" s="1"/>
  <c r="D46" i="1"/>
  <c r="B46" i="1"/>
  <c r="C46" i="1" s="1"/>
  <c r="D54" i="1"/>
  <c r="B54" i="1"/>
  <c r="C54" i="1" s="1"/>
  <c r="D62" i="1"/>
  <c r="B62" i="1"/>
  <c r="C62" i="1" s="1"/>
  <c r="D70" i="1"/>
  <c r="B70" i="1"/>
  <c r="C70" i="1" s="1"/>
  <c r="D78" i="1"/>
  <c r="B78" i="1"/>
  <c r="C78" i="1" s="1"/>
  <c r="D86" i="1"/>
  <c r="B86" i="1"/>
  <c r="C86" i="1" s="1"/>
  <c r="D94" i="1"/>
  <c r="B94" i="1"/>
  <c r="C94" i="1" s="1"/>
  <c r="D102" i="1"/>
  <c r="B102" i="1"/>
  <c r="C102" i="1" s="1"/>
  <c r="D110" i="1"/>
  <c r="B110" i="1"/>
  <c r="C110" i="1" s="1"/>
  <c r="D118" i="1"/>
  <c r="B118" i="1"/>
  <c r="C118" i="1" s="1"/>
  <c r="D126" i="1"/>
  <c r="B126" i="1"/>
  <c r="C126" i="1" s="1"/>
  <c r="D134" i="1"/>
  <c r="B134" i="1"/>
  <c r="C134" i="1" s="1"/>
  <c r="D142" i="1"/>
  <c r="B142" i="1"/>
  <c r="C142" i="1" s="1"/>
  <c r="D150" i="1"/>
  <c r="B150" i="1"/>
  <c r="C150" i="1" s="1"/>
  <c r="D158" i="1"/>
  <c r="B158" i="1"/>
  <c r="C158" i="1" s="1"/>
  <c r="D166" i="1"/>
  <c r="B166" i="1"/>
  <c r="C166" i="1" s="1"/>
  <c r="D174" i="1"/>
  <c r="B174" i="1"/>
  <c r="C174" i="1" s="1"/>
  <c r="D182" i="1"/>
  <c r="B182" i="1"/>
  <c r="C182" i="1" s="1"/>
  <c r="D190" i="1"/>
  <c r="B190" i="1"/>
  <c r="C190" i="1" s="1"/>
  <c r="D198" i="1"/>
  <c r="B198" i="1"/>
  <c r="C198" i="1" s="1"/>
  <c r="D206" i="1"/>
  <c r="B206" i="1"/>
  <c r="C206" i="1" s="1"/>
  <c r="D214" i="1"/>
  <c r="B214" i="1"/>
  <c r="C214" i="1" s="1"/>
  <c r="D222" i="1"/>
  <c r="B222" i="1"/>
  <c r="C222" i="1" s="1"/>
  <c r="D230" i="1"/>
  <c r="B230" i="1"/>
  <c r="C230" i="1" s="1"/>
  <c r="D238" i="1"/>
  <c r="B238" i="1"/>
  <c r="C238" i="1" s="1"/>
  <c r="D246" i="1"/>
  <c r="B246" i="1"/>
  <c r="C246" i="1" s="1"/>
  <c r="D254" i="1"/>
  <c r="B254" i="1"/>
  <c r="C254" i="1" s="1"/>
  <c r="D262" i="1"/>
  <c r="B262" i="1"/>
  <c r="C262" i="1" s="1"/>
  <c r="D270" i="1"/>
  <c r="B270" i="1"/>
  <c r="C270" i="1" s="1"/>
  <c r="D278" i="1"/>
  <c r="B278" i="1"/>
  <c r="C278" i="1" s="1"/>
  <c r="D286" i="1"/>
  <c r="B286" i="1"/>
  <c r="C286" i="1" s="1"/>
  <c r="D294" i="1"/>
  <c r="B294" i="1"/>
  <c r="C294" i="1" s="1"/>
  <c r="D302" i="1"/>
  <c r="B302" i="1"/>
  <c r="C302" i="1" s="1"/>
  <c r="D310" i="1"/>
  <c r="B310" i="1"/>
  <c r="C310" i="1" s="1"/>
  <c r="D318" i="1"/>
  <c r="B318" i="1"/>
  <c r="C318" i="1" s="1"/>
  <c r="D326" i="1"/>
  <c r="B326" i="1"/>
  <c r="C326" i="1" s="1"/>
  <c r="D334" i="1"/>
  <c r="B334" i="1"/>
  <c r="C334" i="1" s="1"/>
  <c r="D342" i="1"/>
  <c r="B342" i="1"/>
  <c r="C342" i="1" s="1"/>
  <c r="D350" i="1"/>
  <c r="B350" i="1"/>
  <c r="C350" i="1" s="1"/>
  <c r="D358" i="1"/>
  <c r="B358" i="1"/>
  <c r="C358" i="1" s="1"/>
  <c r="D366" i="1"/>
  <c r="B366" i="1"/>
  <c r="C366" i="1" s="1"/>
  <c r="D374" i="1"/>
  <c r="B374" i="1"/>
  <c r="C374" i="1" s="1"/>
  <c r="D382" i="1"/>
  <c r="B382" i="1"/>
  <c r="C382" i="1" s="1"/>
  <c r="D390" i="1"/>
  <c r="B390" i="1"/>
  <c r="C390" i="1" s="1"/>
  <c r="D398" i="1"/>
  <c r="B398" i="1"/>
  <c r="C398" i="1" s="1"/>
  <c r="D406" i="1"/>
  <c r="B406" i="1"/>
  <c r="C406" i="1" s="1"/>
  <c r="D414" i="1"/>
  <c r="B414" i="1"/>
  <c r="C414" i="1" s="1"/>
  <c r="D422" i="1"/>
  <c r="B422" i="1"/>
  <c r="C422" i="1" s="1"/>
  <c r="D430" i="1"/>
  <c r="B430" i="1"/>
  <c r="C430" i="1" s="1"/>
  <c r="D438" i="1"/>
  <c r="B438" i="1"/>
  <c r="C438" i="1" s="1"/>
  <c r="D446" i="1"/>
  <c r="B446" i="1"/>
  <c r="C446" i="1" s="1"/>
  <c r="D454" i="1"/>
  <c r="B454" i="1"/>
  <c r="C454" i="1" s="1"/>
  <c r="D462" i="1"/>
  <c r="B462" i="1"/>
  <c r="C462" i="1" s="1"/>
  <c r="D470" i="1"/>
  <c r="B470" i="1"/>
  <c r="C470" i="1" s="1"/>
  <c r="D478" i="1"/>
  <c r="B478" i="1"/>
  <c r="C478" i="1" s="1"/>
  <c r="D486" i="1"/>
  <c r="B486" i="1"/>
  <c r="C486" i="1" s="1"/>
  <c r="D494" i="1"/>
  <c r="B494" i="1"/>
  <c r="C494" i="1" s="1"/>
  <c r="D502" i="1"/>
  <c r="B502" i="1"/>
  <c r="C502" i="1" s="1"/>
  <c r="D510" i="1"/>
  <c r="B510" i="1"/>
  <c r="C510" i="1" s="1"/>
  <c r="D518" i="1"/>
  <c r="B518" i="1"/>
  <c r="C518" i="1" s="1"/>
  <c r="D526" i="1"/>
  <c r="B526" i="1"/>
  <c r="C526" i="1" s="1"/>
  <c r="D534" i="1"/>
  <c r="B534" i="1"/>
  <c r="C534" i="1" s="1"/>
  <c r="D542" i="1"/>
  <c r="B542" i="1"/>
  <c r="C542" i="1" s="1"/>
  <c r="D550" i="1"/>
  <c r="B550" i="1"/>
  <c r="C550" i="1" s="1"/>
  <c r="D558" i="1"/>
  <c r="B558" i="1"/>
  <c r="C558" i="1" s="1"/>
  <c r="D566" i="1"/>
  <c r="B566" i="1"/>
  <c r="C566" i="1" s="1"/>
  <c r="D42" i="1"/>
  <c r="B42" i="1"/>
  <c r="C42" i="1" s="1"/>
  <c r="D66" i="1"/>
  <c r="B66" i="1"/>
  <c r="C66" i="1" s="1"/>
  <c r="D98" i="1"/>
  <c r="B98" i="1"/>
  <c r="C98" i="1" s="1"/>
  <c r="D114" i="1"/>
  <c r="B114" i="1"/>
  <c r="C114" i="1" s="1"/>
  <c r="D146" i="1"/>
  <c r="B146" i="1"/>
  <c r="C146" i="1" s="1"/>
  <c r="D170" i="1"/>
  <c r="B170" i="1"/>
  <c r="C170" i="1" s="1"/>
  <c r="D202" i="1"/>
  <c r="B202" i="1"/>
  <c r="C202" i="1" s="1"/>
  <c r="D218" i="1"/>
  <c r="B218" i="1"/>
  <c r="C218" i="1" s="1"/>
  <c r="D242" i="1"/>
  <c r="B242" i="1"/>
  <c r="C242" i="1" s="1"/>
  <c r="D266" i="1"/>
  <c r="B266" i="1"/>
  <c r="C266" i="1" s="1"/>
  <c r="D290" i="1"/>
  <c r="B290" i="1"/>
  <c r="C290" i="1" s="1"/>
  <c r="D330" i="1"/>
  <c r="B330" i="1"/>
  <c r="C330" i="1" s="1"/>
  <c r="D354" i="1"/>
  <c r="B354" i="1"/>
  <c r="C354" i="1" s="1"/>
  <c r="D378" i="1"/>
  <c r="B378" i="1"/>
  <c r="C378" i="1" s="1"/>
  <c r="D394" i="1"/>
  <c r="B394" i="1"/>
  <c r="C394" i="1" s="1"/>
  <c r="D410" i="1"/>
  <c r="B410" i="1"/>
  <c r="C410" i="1" s="1"/>
  <c r="D434" i="1"/>
  <c r="B434" i="1"/>
  <c r="C434" i="1" s="1"/>
  <c r="D450" i="1"/>
  <c r="B450" i="1"/>
  <c r="C450" i="1" s="1"/>
  <c r="D474" i="1"/>
  <c r="B474" i="1"/>
  <c r="C474" i="1" s="1"/>
  <c r="D490" i="1"/>
  <c r="B490" i="1"/>
  <c r="C490" i="1" s="1"/>
  <c r="D506" i="1"/>
  <c r="B506" i="1"/>
  <c r="C506" i="1" s="1"/>
  <c r="D514" i="1"/>
  <c r="B514" i="1"/>
  <c r="C514" i="1" s="1"/>
  <c r="D554" i="1"/>
  <c r="B554" i="1"/>
  <c r="C554" i="1" s="1"/>
  <c r="D562" i="1"/>
  <c r="B562" i="1"/>
  <c r="C562" i="1" s="1"/>
  <c r="D451" i="1"/>
  <c r="B451" i="1"/>
  <c r="C451" i="1" s="1"/>
  <c r="D7" i="1"/>
  <c r="B7" i="1"/>
  <c r="C7" i="1" s="1"/>
  <c r="D15" i="1"/>
  <c r="B15" i="1"/>
  <c r="C15" i="1" s="1"/>
  <c r="D23" i="1"/>
  <c r="B23" i="1"/>
  <c r="C23" i="1" s="1"/>
  <c r="D31" i="1"/>
  <c r="B31" i="1"/>
  <c r="C31" i="1" s="1"/>
  <c r="D39" i="1"/>
  <c r="B39" i="1"/>
  <c r="C39" i="1" s="1"/>
  <c r="D47" i="1"/>
  <c r="B47" i="1"/>
  <c r="C47" i="1" s="1"/>
  <c r="D55" i="1"/>
  <c r="B55" i="1"/>
  <c r="C55" i="1" s="1"/>
  <c r="D63" i="1"/>
  <c r="B63" i="1"/>
  <c r="C63" i="1" s="1"/>
  <c r="D71" i="1"/>
  <c r="B71" i="1"/>
  <c r="C71" i="1" s="1"/>
  <c r="D79" i="1"/>
  <c r="B79" i="1"/>
  <c r="C79" i="1" s="1"/>
  <c r="D87" i="1"/>
  <c r="B87" i="1"/>
  <c r="C87" i="1" s="1"/>
  <c r="D95" i="1"/>
  <c r="B95" i="1"/>
  <c r="C95" i="1" s="1"/>
  <c r="D103" i="1"/>
  <c r="B103" i="1"/>
  <c r="C103" i="1" s="1"/>
  <c r="D111" i="1"/>
  <c r="B111" i="1"/>
  <c r="C111" i="1" s="1"/>
  <c r="D119" i="1"/>
  <c r="B119" i="1"/>
  <c r="C119" i="1" s="1"/>
  <c r="D127" i="1"/>
  <c r="B127" i="1"/>
  <c r="C127" i="1" s="1"/>
  <c r="D135" i="1"/>
  <c r="B135" i="1"/>
  <c r="C135" i="1" s="1"/>
  <c r="D143" i="1"/>
  <c r="B143" i="1"/>
  <c r="C143" i="1" s="1"/>
  <c r="D151" i="1"/>
  <c r="B151" i="1"/>
  <c r="C151" i="1" s="1"/>
  <c r="D159" i="1"/>
  <c r="B159" i="1"/>
  <c r="C159" i="1" s="1"/>
  <c r="D167" i="1"/>
  <c r="B167" i="1"/>
  <c r="C167" i="1" s="1"/>
  <c r="D175" i="1"/>
  <c r="B175" i="1"/>
  <c r="C175" i="1" s="1"/>
  <c r="D183" i="1"/>
  <c r="B183" i="1"/>
  <c r="C183" i="1" s="1"/>
  <c r="D191" i="1"/>
  <c r="B191" i="1"/>
  <c r="C191" i="1" s="1"/>
  <c r="D199" i="1"/>
  <c r="B199" i="1"/>
  <c r="C199" i="1" s="1"/>
  <c r="D207" i="1"/>
  <c r="B207" i="1"/>
  <c r="C207" i="1" s="1"/>
  <c r="D215" i="1"/>
  <c r="B215" i="1"/>
  <c r="C215" i="1" s="1"/>
  <c r="D223" i="1"/>
  <c r="B223" i="1"/>
  <c r="C223" i="1" s="1"/>
  <c r="D231" i="1"/>
  <c r="B231" i="1"/>
  <c r="C231" i="1" s="1"/>
  <c r="D239" i="1"/>
  <c r="B239" i="1"/>
  <c r="C239" i="1" s="1"/>
  <c r="D247" i="1"/>
  <c r="B247" i="1"/>
  <c r="C247" i="1" s="1"/>
  <c r="D255" i="1"/>
  <c r="B255" i="1"/>
  <c r="C255" i="1" s="1"/>
  <c r="D263" i="1"/>
  <c r="B263" i="1"/>
  <c r="C263" i="1" s="1"/>
  <c r="D271" i="1"/>
  <c r="B271" i="1"/>
  <c r="C271" i="1" s="1"/>
  <c r="D279" i="1"/>
  <c r="B279" i="1"/>
  <c r="C279" i="1" s="1"/>
  <c r="D287" i="1"/>
  <c r="B287" i="1"/>
  <c r="C287" i="1" s="1"/>
  <c r="D295" i="1"/>
  <c r="B295" i="1"/>
  <c r="C295" i="1" s="1"/>
  <c r="D303" i="1"/>
  <c r="B303" i="1"/>
  <c r="C303" i="1" s="1"/>
  <c r="D311" i="1"/>
  <c r="B311" i="1"/>
  <c r="C311" i="1" s="1"/>
  <c r="D319" i="1"/>
  <c r="B319" i="1"/>
  <c r="C319" i="1" s="1"/>
  <c r="D327" i="1"/>
  <c r="B327" i="1"/>
  <c r="C327" i="1" s="1"/>
  <c r="D335" i="1"/>
  <c r="B335" i="1"/>
  <c r="C335" i="1" s="1"/>
  <c r="D343" i="1"/>
  <c r="B343" i="1"/>
  <c r="C343" i="1" s="1"/>
  <c r="D351" i="1"/>
  <c r="B351" i="1"/>
  <c r="C351" i="1" s="1"/>
  <c r="D359" i="1"/>
  <c r="B359" i="1"/>
  <c r="C359" i="1" s="1"/>
  <c r="D367" i="1"/>
  <c r="B367" i="1"/>
  <c r="C367" i="1" s="1"/>
  <c r="D375" i="1"/>
  <c r="B375" i="1"/>
  <c r="C375" i="1" s="1"/>
  <c r="D383" i="1"/>
  <c r="B383" i="1"/>
  <c r="C383" i="1" s="1"/>
  <c r="D391" i="1"/>
  <c r="B391" i="1"/>
  <c r="C391" i="1" s="1"/>
  <c r="D399" i="1"/>
  <c r="B399" i="1"/>
  <c r="C399" i="1" s="1"/>
  <c r="D407" i="1"/>
  <c r="B407" i="1"/>
  <c r="C407" i="1" s="1"/>
  <c r="D415" i="1"/>
  <c r="B415" i="1"/>
  <c r="C415" i="1" s="1"/>
  <c r="D423" i="1"/>
  <c r="B423" i="1"/>
  <c r="C423" i="1" s="1"/>
  <c r="D431" i="1"/>
  <c r="B431" i="1"/>
  <c r="C431" i="1" s="1"/>
  <c r="D439" i="1"/>
  <c r="B439" i="1"/>
  <c r="C439" i="1" s="1"/>
  <c r="D447" i="1"/>
  <c r="B447" i="1"/>
  <c r="C447" i="1" s="1"/>
  <c r="D455" i="1"/>
  <c r="B455" i="1"/>
  <c r="C455" i="1" s="1"/>
  <c r="D463" i="1"/>
  <c r="B463" i="1"/>
  <c r="C463" i="1" s="1"/>
  <c r="D471" i="1"/>
  <c r="B471" i="1"/>
  <c r="C471" i="1" s="1"/>
  <c r="D479" i="1"/>
  <c r="B479" i="1"/>
  <c r="C479" i="1" s="1"/>
  <c r="D487" i="1"/>
  <c r="B487" i="1"/>
  <c r="C487" i="1" s="1"/>
  <c r="D495" i="1"/>
  <c r="B495" i="1"/>
  <c r="C495" i="1" s="1"/>
  <c r="D503" i="1"/>
  <c r="B503" i="1"/>
  <c r="C503" i="1" s="1"/>
  <c r="D511" i="1"/>
  <c r="B511" i="1"/>
  <c r="C511" i="1" s="1"/>
  <c r="D519" i="1"/>
  <c r="B519" i="1"/>
  <c r="C519" i="1" s="1"/>
  <c r="D527" i="1"/>
  <c r="B527" i="1"/>
  <c r="C527" i="1" s="1"/>
  <c r="D535" i="1"/>
  <c r="B535" i="1"/>
  <c r="C535" i="1" s="1"/>
  <c r="D543" i="1"/>
  <c r="B543" i="1"/>
  <c r="C543" i="1" s="1"/>
  <c r="D551" i="1"/>
  <c r="B551" i="1"/>
  <c r="C551" i="1" s="1"/>
  <c r="D559" i="1"/>
  <c r="B559" i="1"/>
  <c r="C559" i="1" s="1"/>
  <c r="D567" i="1"/>
  <c r="B567" i="1"/>
  <c r="C567" i="1" s="1"/>
  <c r="D458" i="1"/>
  <c r="B458" i="1"/>
  <c r="C458" i="1" s="1"/>
  <c r="D195" i="1"/>
  <c r="B195" i="1"/>
  <c r="C195" i="1" s="1"/>
  <c r="D8" i="1"/>
  <c r="B8" i="1"/>
  <c r="C8" i="1" s="1"/>
  <c r="D16" i="1"/>
  <c r="B16" i="1"/>
  <c r="C16" i="1" s="1"/>
  <c r="D24" i="1"/>
  <c r="B24" i="1"/>
  <c r="C24" i="1" s="1"/>
  <c r="D32" i="1"/>
  <c r="B32" i="1"/>
  <c r="C32" i="1" s="1"/>
  <c r="D40" i="1"/>
  <c r="B40" i="1"/>
  <c r="C40" i="1" s="1"/>
  <c r="D48" i="1"/>
  <c r="B48" i="1"/>
  <c r="C48" i="1" s="1"/>
  <c r="D56" i="1"/>
  <c r="B56" i="1"/>
  <c r="C56" i="1" s="1"/>
  <c r="D64" i="1"/>
  <c r="B64" i="1"/>
  <c r="C64" i="1" s="1"/>
  <c r="D72" i="1"/>
  <c r="B72" i="1"/>
  <c r="C72" i="1" s="1"/>
  <c r="D80" i="1"/>
  <c r="B80" i="1"/>
  <c r="C80" i="1" s="1"/>
  <c r="D88" i="1"/>
  <c r="B88" i="1"/>
  <c r="C88" i="1" s="1"/>
  <c r="D96" i="1"/>
  <c r="B96" i="1"/>
  <c r="C96" i="1" s="1"/>
  <c r="D104" i="1"/>
  <c r="B104" i="1"/>
  <c r="C104" i="1" s="1"/>
  <c r="D112" i="1"/>
  <c r="B112" i="1"/>
  <c r="C112" i="1" s="1"/>
  <c r="D120" i="1"/>
  <c r="B120" i="1"/>
  <c r="C120" i="1" s="1"/>
  <c r="D128" i="1"/>
  <c r="B128" i="1"/>
  <c r="C128" i="1" s="1"/>
  <c r="D136" i="1"/>
  <c r="B136" i="1"/>
  <c r="C136" i="1" s="1"/>
  <c r="D144" i="1"/>
  <c r="B144" i="1"/>
  <c r="C144" i="1" s="1"/>
  <c r="D152" i="1"/>
  <c r="B152" i="1"/>
  <c r="C152" i="1" s="1"/>
  <c r="D160" i="1"/>
  <c r="B160" i="1"/>
  <c r="C160" i="1" s="1"/>
  <c r="D168" i="1"/>
  <c r="B168" i="1"/>
  <c r="C168" i="1" s="1"/>
  <c r="D176" i="1"/>
  <c r="B176" i="1"/>
  <c r="C176" i="1" s="1"/>
  <c r="D184" i="1"/>
  <c r="B184" i="1"/>
  <c r="C184" i="1" s="1"/>
  <c r="D192" i="1"/>
  <c r="B192" i="1"/>
  <c r="C192" i="1" s="1"/>
  <c r="D200" i="1"/>
  <c r="B200" i="1"/>
  <c r="C200" i="1" s="1"/>
  <c r="D208" i="1"/>
  <c r="B208" i="1"/>
  <c r="C208" i="1" s="1"/>
  <c r="D216" i="1"/>
  <c r="B216" i="1"/>
  <c r="C216" i="1" s="1"/>
  <c r="D224" i="1"/>
  <c r="B224" i="1"/>
  <c r="C224" i="1" s="1"/>
  <c r="D232" i="1"/>
  <c r="B232" i="1"/>
  <c r="C232" i="1" s="1"/>
  <c r="D240" i="1"/>
  <c r="B240" i="1"/>
  <c r="C240" i="1" s="1"/>
  <c r="D248" i="1"/>
  <c r="B248" i="1"/>
  <c r="C248" i="1" s="1"/>
  <c r="D256" i="1"/>
  <c r="B256" i="1"/>
  <c r="C256" i="1" s="1"/>
  <c r="D264" i="1"/>
  <c r="B264" i="1"/>
  <c r="C264" i="1" s="1"/>
  <c r="D272" i="1"/>
  <c r="B272" i="1"/>
  <c r="C272" i="1" s="1"/>
  <c r="D280" i="1"/>
  <c r="B280" i="1"/>
  <c r="C280" i="1" s="1"/>
  <c r="D288" i="1"/>
  <c r="B288" i="1"/>
  <c r="C288" i="1" s="1"/>
  <c r="D296" i="1"/>
  <c r="B296" i="1"/>
  <c r="C296" i="1" s="1"/>
  <c r="D304" i="1"/>
  <c r="B304" i="1"/>
  <c r="C304" i="1" s="1"/>
  <c r="D312" i="1"/>
  <c r="B312" i="1"/>
  <c r="C312" i="1" s="1"/>
  <c r="D320" i="1"/>
  <c r="B320" i="1"/>
  <c r="C320" i="1" s="1"/>
  <c r="D328" i="1"/>
  <c r="B328" i="1"/>
  <c r="C328" i="1" s="1"/>
  <c r="D336" i="1"/>
  <c r="B336" i="1"/>
  <c r="C336" i="1" s="1"/>
  <c r="D344" i="1"/>
  <c r="B344" i="1"/>
  <c r="C344" i="1" s="1"/>
  <c r="D352" i="1"/>
  <c r="B352" i="1"/>
  <c r="C352" i="1" s="1"/>
  <c r="D360" i="1"/>
  <c r="B360" i="1"/>
  <c r="C360" i="1" s="1"/>
  <c r="D368" i="1"/>
  <c r="B368" i="1"/>
  <c r="C368" i="1" s="1"/>
  <c r="D376" i="1"/>
  <c r="B376" i="1"/>
  <c r="C376" i="1" s="1"/>
  <c r="D384" i="1"/>
  <c r="B384" i="1"/>
  <c r="C384" i="1" s="1"/>
  <c r="D392" i="1"/>
  <c r="B392" i="1"/>
  <c r="C392" i="1" s="1"/>
  <c r="D400" i="1"/>
  <c r="B400" i="1"/>
  <c r="C400" i="1" s="1"/>
  <c r="D408" i="1"/>
  <c r="B408" i="1"/>
  <c r="C408" i="1" s="1"/>
  <c r="D416" i="1"/>
  <c r="B416" i="1"/>
  <c r="C416" i="1" s="1"/>
  <c r="D424" i="1"/>
  <c r="B424" i="1"/>
  <c r="C424" i="1" s="1"/>
  <c r="D432" i="1"/>
  <c r="B432" i="1"/>
  <c r="C432" i="1" s="1"/>
  <c r="D440" i="1"/>
  <c r="B440" i="1"/>
  <c r="C440" i="1" s="1"/>
  <c r="D448" i="1"/>
  <c r="B448" i="1"/>
  <c r="C448" i="1" s="1"/>
  <c r="D456" i="1"/>
  <c r="B456" i="1"/>
  <c r="C456" i="1" s="1"/>
  <c r="D464" i="1"/>
  <c r="B464" i="1"/>
  <c r="C464" i="1" s="1"/>
  <c r="D472" i="1"/>
  <c r="B472" i="1"/>
  <c r="C472" i="1" s="1"/>
  <c r="D480" i="1"/>
  <c r="B480" i="1"/>
  <c r="C480" i="1" s="1"/>
  <c r="D488" i="1"/>
  <c r="B488" i="1"/>
  <c r="C488" i="1" s="1"/>
  <c r="D496" i="1"/>
  <c r="B496" i="1"/>
  <c r="C496" i="1" s="1"/>
  <c r="D504" i="1"/>
  <c r="B504" i="1"/>
  <c r="C504" i="1" s="1"/>
  <c r="D512" i="1"/>
  <c r="B512" i="1"/>
  <c r="C512" i="1" s="1"/>
  <c r="D520" i="1"/>
  <c r="B520" i="1"/>
  <c r="C520" i="1" s="1"/>
  <c r="D528" i="1"/>
  <c r="B528" i="1"/>
  <c r="C528" i="1" s="1"/>
  <c r="D536" i="1"/>
  <c r="B536" i="1"/>
  <c r="C536" i="1" s="1"/>
  <c r="D544" i="1"/>
  <c r="B544" i="1"/>
  <c r="C544" i="1" s="1"/>
  <c r="D552" i="1"/>
  <c r="B552" i="1"/>
  <c r="C552" i="1" s="1"/>
  <c r="D560" i="1"/>
  <c r="B560" i="1"/>
  <c r="C560" i="1" s="1"/>
  <c r="D568" i="1"/>
  <c r="B568" i="1"/>
  <c r="C568" i="1" s="1"/>
  <c r="BB570" i="1"/>
  <c r="BB554" i="1"/>
  <c r="BB546" i="1"/>
  <c r="BB538" i="1"/>
  <c r="BB522" i="1"/>
  <c r="BB514" i="1"/>
  <c r="BB506" i="1"/>
  <c r="BB498" i="1"/>
  <c r="BB490" i="1"/>
  <c r="BB474" i="1"/>
  <c r="BB466" i="1"/>
  <c r="BB458" i="1"/>
  <c r="BB442" i="1"/>
  <c r="BB426" i="1"/>
  <c r="BB418" i="1"/>
  <c r="BB410" i="1"/>
  <c r="BB402" i="1"/>
  <c r="BB394" i="1"/>
  <c r="BB386" i="1"/>
  <c r="BB378" i="1"/>
  <c r="BB370" i="1"/>
  <c r="BB362" i="1"/>
  <c r="BB346" i="1"/>
  <c r="BB338" i="1"/>
  <c r="BB330" i="1"/>
  <c r="BB322" i="1"/>
  <c r="BB314" i="1"/>
  <c r="BB298" i="1"/>
  <c r="BB290" i="1"/>
  <c r="BB282" i="1"/>
  <c r="BB266" i="1"/>
  <c r="BB258" i="1"/>
  <c r="BB250" i="1"/>
  <c r="BB242" i="1"/>
  <c r="BB234" i="1"/>
  <c r="BB218" i="1"/>
  <c r="BB210" i="1"/>
  <c r="BB202" i="1"/>
  <c r="BB194" i="1"/>
  <c r="BB186" i="1"/>
  <c r="BB178" i="1"/>
  <c r="BB170" i="1"/>
  <c r="BB154" i="1"/>
  <c r="BB146" i="1"/>
  <c r="BB138" i="1"/>
  <c r="BB122" i="1"/>
  <c r="BB114" i="1"/>
  <c r="BB106" i="1"/>
  <c r="BB98" i="1"/>
  <c r="BB90" i="1"/>
  <c r="BB82" i="1"/>
  <c r="BB74" i="1"/>
  <c r="BB66" i="1"/>
  <c r="BB58" i="1"/>
  <c r="BB50" i="1"/>
  <c r="BB34" i="1"/>
  <c r="BB26" i="1"/>
  <c r="BB18" i="1"/>
  <c r="BB10" i="1"/>
  <c r="BB572" i="1"/>
  <c r="BB564" i="1"/>
  <c r="BB556" i="1"/>
  <c r="BB548" i="1"/>
  <c r="BB540" i="1"/>
  <c r="BB532" i="1"/>
  <c r="BB524" i="1"/>
  <c r="BB516" i="1"/>
  <c r="BB508" i="1"/>
  <c r="BB500" i="1"/>
  <c r="BB492" i="1"/>
  <c r="BB484" i="1"/>
  <c r="BB476" i="1"/>
  <c r="BB468" i="1"/>
  <c r="BB460" i="1"/>
  <c r="BB452" i="1"/>
  <c r="BB444" i="1"/>
  <c r="BB436" i="1"/>
  <c r="BB428" i="1"/>
  <c r="BB420" i="1"/>
  <c r="BB412" i="1"/>
  <c r="BB404" i="1"/>
  <c r="BB396" i="1"/>
  <c r="BB388" i="1"/>
  <c r="BB380" i="1"/>
  <c r="BB372" i="1"/>
  <c r="BB364" i="1"/>
  <c r="BB356" i="1"/>
  <c r="BB348" i="1"/>
  <c r="BB340" i="1"/>
  <c r="BB332" i="1"/>
  <c r="BB324" i="1"/>
  <c r="BB316" i="1"/>
  <c r="BB308" i="1"/>
  <c r="BB300" i="1"/>
  <c r="BB292" i="1"/>
  <c r="BB284" i="1"/>
  <c r="BB276" i="1"/>
  <c r="BB268" i="1"/>
  <c r="BB260" i="1"/>
  <c r="BB252" i="1"/>
  <c r="BB244" i="1"/>
  <c r="BB236" i="1"/>
  <c r="BB228" i="1"/>
  <c r="BB220" i="1"/>
  <c r="BB212" i="1"/>
  <c r="BB204" i="1"/>
  <c r="BB196" i="1"/>
  <c r="BB188" i="1"/>
  <c r="BB180" i="1"/>
  <c r="BB172" i="1"/>
  <c r="BB164" i="1"/>
  <c r="BB156" i="1"/>
  <c r="BB148" i="1"/>
  <c r="BB140" i="1"/>
  <c r="BB132" i="1"/>
  <c r="BB124" i="1"/>
  <c r="BB116" i="1"/>
  <c r="BB108" i="1"/>
  <c r="BB100" i="1"/>
  <c r="BB92" i="1"/>
  <c r="BB84" i="1"/>
  <c r="BB76" i="1"/>
  <c r="BB68" i="1"/>
  <c r="BB60" i="1"/>
  <c r="BB52" i="1"/>
  <c r="BB44" i="1"/>
  <c r="BB36" i="1"/>
  <c r="BB28" i="1"/>
  <c r="BB20" i="1"/>
  <c r="BB12" i="1"/>
  <c r="BB569" i="1"/>
  <c r="BB561" i="1"/>
  <c r="BB553" i="1"/>
  <c r="BB545" i="1"/>
  <c r="BB537" i="1"/>
  <c r="BB529" i="1"/>
  <c r="BB521" i="1"/>
  <c r="BB513" i="1"/>
  <c r="BB505" i="1"/>
  <c r="BB497" i="1"/>
  <c r="BB489" i="1"/>
  <c r="BB481" i="1"/>
  <c r="BB473" i="1"/>
  <c r="BB465" i="1"/>
  <c r="BB457" i="1"/>
  <c r="BB449" i="1"/>
  <c r="BB441" i="1"/>
  <c r="BB433" i="1"/>
  <c r="BB425" i="1"/>
  <c r="BB417" i="1"/>
  <c r="BB409" i="1"/>
  <c r="BB401" i="1"/>
  <c r="BB393" i="1"/>
  <c r="BB385" i="1"/>
  <c r="BB377" i="1"/>
  <c r="BB369" i="1"/>
  <c r="BB361" i="1"/>
  <c r="BB353" i="1"/>
  <c r="BB345" i="1"/>
  <c r="BB337" i="1"/>
  <c r="BB329" i="1"/>
  <c r="BB321" i="1"/>
  <c r="BB313" i="1"/>
  <c r="BB305" i="1"/>
  <c r="BB297" i="1"/>
  <c r="BB289" i="1"/>
  <c r="BB281" i="1"/>
  <c r="BB273" i="1"/>
  <c r="BB265" i="1"/>
  <c r="BB257" i="1"/>
  <c r="BB249" i="1"/>
  <c r="BB241" i="1"/>
  <c r="BB233" i="1"/>
  <c r="BB225" i="1"/>
  <c r="BB217" i="1"/>
  <c r="BB209" i="1"/>
  <c r="BB201" i="1"/>
  <c r="BB193" i="1"/>
  <c r="BB185" i="1"/>
  <c r="BB177" i="1"/>
  <c r="BB169" i="1"/>
  <c r="BB161" i="1"/>
  <c r="BB153" i="1"/>
  <c r="BB145" i="1"/>
  <c r="BB137" i="1"/>
  <c r="BB129" i="1"/>
  <c r="BB121" i="1"/>
  <c r="BB113" i="1"/>
  <c r="BB105" i="1"/>
  <c r="BB97" i="1"/>
  <c r="BB89" i="1"/>
  <c r="BB81" i="1"/>
  <c r="BB73" i="1"/>
  <c r="BB65" i="1"/>
  <c r="BB57" i="1"/>
  <c r="BB49" i="1"/>
  <c r="BB41" i="1"/>
  <c r="BB33" i="1"/>
  <c r="BB25" i="1"/>
  <c r="BB17" i="1"/>
  <c r="BB9" i="1"/>
  <c r="BB547" i="1"/>
  <c r="BB515" i="1"/>
  <c r="BB483" i="1"/>
  <c r="BB419" i="1"/>
  <c r="BB387" i="1"/>
  <c r="BB3" i="1"/>
  <c r="BB566" i="1"/>
  <c r="BB558" i="1"/>
  <c r="BB550" i="1"/>
  <c r="BB542" i="1"/>
  <c r="BB534" i="1"/>
  <c r="BB526" i="1"/>
  <c r="BB518" i="1"/>
  <c r="BB510" i="1"/>
  <c r="BB502" i="1"/>
  <c r="BB494" i="1"/>
  <c r="BB486" i="1"/>
  <c r="BB478" i="1"/>
  <c r="BB470" i="1"/>
  <c r="BB462" i="1"/>
  <c r="BB454" i="1"/>
  <c r="BB446" i="1"/>
  <c r="BB438" i="1"/>
  <c r="BB573" i="1"/>
  <c r="BB565" i="1"/>
  <c r="BB557" i="1"/>
  <c r="BB549" i="1"/>
  <c r="BB541" i="1"/>
  <c r="BB533" i="1"/>
  <c r="BB525" i="1"/>
  <c r="BB517" i="1"/>
  <c r="BB509" i="1"/>
  <c r="BB501" i="1"/>
  <c r="BB493" i="1"/>
  <c r="BB485" i="1"/>
  <c r="BB477" i="1"/>
  <c r="BB469" i="1"/>
  <c r="BB461" i="1"/>
  <c r="BB453" i="1"/>
  <c r="BB445" i="1"/>
  <c r="BB437" i="1"/>
  <c r="BB429" i="1"/>
  <c r="BB421" i="1"/>
  <c r="BB413" i="1"/>
  <c r="BB405" i="1"/>
  <c r="BB397" i="1"/>
  <c r="BB389" i="1"/>
  <c r="BB381" i="1"/>
  <c r="BB373" i="1"/>
  <c r="BB365" i="1"/>
  <c r="BB357" i="1"/>
  <c r="BB349" i="1"/>
  <c r="BB341" i="1"/>
  <c r="BB333" i="1"/>
  <c r="BB325" i="1"/>
  <c r="BB317" i="1"/>
  <c r="BB309" i="1"/>
  <c r="BB301" i="1"/>
  <c r="BB293" i="1"/>
  <c r="BB285" i="1"/>
  <c r="BB277" i="1"/>
  <c r="BB269" i="1"/>
  <c r="BB261" i="1"/>
  <c r="BB253" i="1"/>
  <c r="BB245" i="1"/>
  <c r="BB237" i="1"/>
  <c r="BB229" i="1"/>
  <c r="BB221" i="1"/>
  <c r="BB213" i="1"/>
  <c r="BB205" i="1"/>
  <c r="BB197" i="1"/>
  <c r="BB189" i="1"/>
  <c r="BB181" i="1"/>
  <c r="BB173" i="1"/>
  <c r="BB165" i="1"/>
  <c r="BB157" i="1"/>
  <c r="BB149" i="1"/>
  <c r="BB141" i="1"/>
  <c r="BB133" i="1"/>
  <c r="BB125" i="1"/>
  <c r="BB117" i="1"/>
  <c r="BB109" i="1"/>
  <c r="BB101" i="1"/>
  <c r="BB93" i="1"/>
  <c r="BB85" i="1"/>
  <c r="BB77" i="1"/>
  <c r="BB69" i="1"/>
  <c r="BB61" i="1"/>
  <c r="BB53" i="1"/>
  <c r="BB45" i="1"/>
  <c r="BB37" i="1"/>
  <c r="BB568" i="1"/>
  <c r="BB560" i="1"/>
  <c r="BB552" i="1"/>
  <c r="BB544" i="1"/>
  <c r="BB536" i="1"/>
  <c r="BB528" i="1"/>
  <c r="BB520" i="1"/>
  <c r="BB512" i="1"/>
  <c r="BB504" i="1"/>
  <c r="BB496" i="1"/>
  <c r="BB488" i="1"/>
  <c r="BB480" i="1"/>
  <c r="BB472" i="1"/>
  <c r="BB464" i="1"/>
  <c r="BB456" i="1"/>
  <c r="BB448" i="1"/>
  <c r="BB440" i="1"/>
  <c r="BB432" i="1"/>
  <c r="BB424" i="1"/>
  <c r="BB416" i="1"/>
  <c r="BB408" i="1"/>
  <c r="BB400" i="1"/>
  <c r="BB392" i="1"/>
  <c r="BB384" i="1"/>
  <c r="BB376" i="1"/>
  <c r="BB368" i="1"/>
  <c r="BB360" i="1"/>
  <c r="BB352" i="1"/>
  <c r="BB344" i="1"/>
  <c r="BB336" i="1"/>
  <c r="BB328" i="1"/>
  <c r="BB320" i="1"/>
  <c r="BB312" i="1"/>
  <c r="BB304" i="1"/>
  <c r="BB296" i="1"/>
  <c r="BB288" i="1"/>
  <c r="BB280" i="1"/>
  <c r="BB272" i="1"/>
  <c r="BB264" i="1"/>
  <c r="BB256" i="1"/>
  <c r="BB248" i="1"/>
  <c r="BB240" i="1"/>
  <c r="BB232" i="1"/>
  <c r="BB224" i="1"/>
  <c r="BB216" i="1"/>
  <c r="BB208" i="1"/>
  <c r="BB200" i="1"/>
  <c r="BB192" i="1"/>
  <c r="BB184" i="1"/>
  <c r="BB176" i="1"/>
  <c r="BB168" i="1"/>
  <c r="BB160" i="1"/>
  <c r="BB152" i="1"/>
  <c r="BB144" i="1"/>
  <c r="BB136" i="1"/>
  <c r="BB128" i="1"/>
  <c r="BB120" i="1"/>
  <c r="BB112" i="1"/>
  <c r="BB104" i="1"/>
  <c r="BB96" i="1"/>
  <c r="BB88" i="1"/>
  <c r="BB80" i="1"/>
  <c r="BB72" i="1"/>
  <c r="BB64" i="1"/>
  <c r="BB56" i="1"/>
  <c r="BB48" i="1"/>
  <c r="BB40" i="1"/>
  <c r="BB32" i="1"/>
  <c r="BB24" i="1"/>
  <c r="BB571" i="1"/>
  <c r="BB563" i="1"/>
  <c r="BB555" i="1"/>
  <c r="BB539" i="1"/>
  <c r="BB531" i="1"/>
  <c r="BB523" i="1"/>
  <c r="BB507" i="1"/>
  <c r="BB499" i="1"/>
  <c r="BB491" i="1"/>
  <c r="BB475" i="1"/>
  <c r="BB467" i="1"/>
  <c r="BB459" i="1"/>
  <c r="BB443" i="1"/>
  <c r="BB435" i="1"/>
  <c r="BB427" i="1"/>
  <c r="BB411" i="1"/>
  <c r="BB403" i="1"/>
  <c r="BB395" i="1"/>
  <c r="BB379" i="1"/>
  <c r="BB371" i="1"/>
  <c r="BB363" i="1"/>
  <c r="BB347" i="1"/>
  <c r="BB339" i="1"/>
  <c r="BB331" i="1"/>
  <c r="BB29" i="1"/>
  <c r="BB21" i="1"/>
  <c r="BB13" i="1"/>
  <c r="BB5" i="1"/>
  <c r="BB4" i="1"/>
  <c r="BB16" i="1"/>
  <c r="BB8" i="1"/>
</calcChain>
</file>

<file path=xl/sharedStrings.xml><?xml version="1.0" encoding="utf-8"?>
<sst xmlns="http://schemas.openxmlformats.org/spreadsheetml/2006/main" count="6412" uniqueCount="1161">
  <si>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</si>
  <si>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</si>
  <si>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</si>
  <si>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</si>
  <si>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</si>
  <si>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</si>
  <si>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</si>
  <si>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</si>
  <si>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</si>
  <si>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</si>
  <si>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</si>
  <si>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</si>
  <si>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</si>
  <si>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</si>
  <si>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</si>
  <si>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</si>
  <si>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</si>
  <si>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</si>
  <si>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</si>
  <si>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</si>
  <si>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</si>
  <si>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</si>
  <si>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</si>
  <si>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</si>
  <si>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</si>
  <si>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</si>
  <si>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</si>
  <si>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</si>
  <si>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</si>
  <si>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</si>
  <si>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</si>
  <si>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</si>
  <si>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</si>
  <si>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</si>
  <si>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</si>
  <si>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</si>
  <si>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</si>
  <si>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</si>
  <si>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</si>
  <si>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</si>
  <si>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</si>
  <si>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</si>
  <si>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</si>
  <si>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</si>
  <si>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</si>
  <si>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</si>
  <si>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</si>
  <si>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</si>
  <si>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</si>
  <si>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</si>
  <si>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</si>
  <si>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</si>
  <si>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</si>
  <si>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</si>
  <si>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</si>
  <si>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</si>
  <si>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</si>
  <si>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</si>
  <si>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</si>
  <si>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</si>
  <si>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</si>
  <si>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</si>
  <si>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</si>
  <si>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</si>
  <si>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</si>
  <si>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</si>
  <si>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</si>
  <si>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</si>
  <si>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</si>
  <si>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</si>
  <si>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</si>
  <si>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</si>
  <si>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</si>
  <si>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</si>
  <si>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</si>
  <si>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</si>
  <si>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</si>
  <si>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</si>
  <si>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</si>
  <si>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</si>
  <si>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</si>
  <si>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</si>
  <si>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</si>
  <si>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</si>
  <si>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</si>
  <si>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</si>
  <si>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</si>
  <si>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</si>
  <si>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</si>
  <si>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</si>
  <si>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</si>
  <si>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</si>
  <si>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</si>
  <si>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</si>
  <si>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</si>
  <si>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</si>
  <si>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</si>
  <si>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</si>
  <si>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</si>
  <si>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</si>
  <si>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</si>
  <si>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</si>
  <si>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</si>
  <si>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</si>
  <si>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</si>
  <si>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</si>
  <si>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</si>
  <si>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</si>
  <si>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</si>
  <si>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</si>
  <si>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</si>
  <si>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</si>
  <si>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</si>
  <si>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</si>
  <si>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</si>
  <si>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</si>
  <si>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</si>
  <si>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</si>
  <si>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</si>
  <si>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</si>
  <si>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</si>
  <si>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</si>
  <si>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</si>
  <si>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GNSS</t>
  </si>
  <si>
    <t>RS - HP 1090 Multi Chl Radio</t>
  </si>
  <si>
    <t>Terminal</t>
  </si>
  <si>
    <t>C1</t>
  </si>
  <si>
    <t>EnrouteCTV</t>
  </si>
  <si>
    <t>TimeDifferenceOfArrival</t>
  </si>
  <si>
    <t>Cleveland</t>
  </si>
  <si>
    <t>157-03</t>
  </si>
  <si>
    <t>4G6</t>
  </si>
  <si>
    <t>113-01</t>
  </si>
  <si>
    <t>SDC</t>
  </si>
  <si>
    <t>157-01</t>
  </si>
  <si>
    <t>GVQ</t>
  </si>
  <si>
    <t>111-01</t>
  </si>
  <si>
    <t>4G2</t>
  </si>
  <si>
    <t>157-07</t>
  </si>
  <si>
    <t>VGC</t>
  </si>
  <si>
    <t>042:42:17.36 N</t>
  </si>
  <si>
    <t>077:44:57.71 W</t>
  </si>
  <si>
    <t>042:42:21.46 N</t>
  </si>
  <si>
    <t>077:44:54.24 W</t>
  </si>
  <si>
    <t>042:42:25.09 N</t>
  </si>
  <si>
    <t>077:44:50.99 W</t>
  </si>
  <si>
    <t>042:42:29.41 N</t>
  </si>
  <si>
    <t>077:44:47.59 W</t>
  </si>
  <si>
    <t>042:42:33.82 N</t>
  </si>
  <si>
    <t>077:44:43.81 W</t>
  </si>
  <si>
    <t>042:42:37.45 N</t>
  </si>
  <si>
    <t>077:44:40.64 W</t>
  </si>
  <si>
    <t>042:42:40.85 N</t>
  </si>
  <si>
    <t>077:44:37.86 W</t>
  </si>
  <si>
    <t>042:42:44.86 N</t>
  </si>
  <si>
    <t>077:44:34.38 W</t>
  </si>
  <si>
    <t>042:42:48.49 N</t>
  </si>
  <si>
    <t>077:44:31.45 W</t>
  </si>
  <si>
    <t>042:42:52.43 N</t>
  </si>
  <si>
    <t>077:44:27.97 W</t>
  </si>
  <si>
    <t>042:43:00.00 N</t>
  </si>
  <si>
    <t>077:44:21.79 W</t>
  </si>
  <si>
    <t>042:43:03.48 N</t>
  </si>
  <si>
    <t>077:44:18.62 W</t>
  </si>
  <si>
    <t>042:43:07.11 N</t>
  </si>
  <si>
    <t>077:44:15.69 W</t>
  </si>
  <si>
    <t>042:43:10.20 N</t>
  </si>
  <si>
    <t>077:44:13.06 W</t>
  </si>
  <si>
    <t>042:43:13.37 N</t>
  </si>
  <si>
    <t>077:44:10.51 W</t>
  </si>
  <si>
    <t>042:43:17.23 N</t>
  </si>
  <si>
    <t>077:44:07.27 W</t>
  </si>
  <si>
    <t>042:43:20.78 N</t>
  </si>
  <si>
    <t>077:44:04.57 W</t>
  </si>
  <si>
    <t>042:43:23.41 N</t>
  </si>
  <si>
    <t>077:44:02.25 W</t>
  </si>
  <si>
    <t>042:43:27.35 N</t>
  </si>
  <si>
    <t>077:43:59.08 W</t>
  </si>
  <si>
    <t>042:43:30.44 N</t>
  </si>
  <si>
    <t>077:43:56.53 W</t>
  </si>
  <si>
    <t>042:43:34.15 N</t>
  </si>
  <si>
    <t>077:43:53.44 W</t>
  </si>
  <si>
    <t>042:43:37.85 N</t>
  </si>
  <si>
    <t>077:43:50.51 W</t>
  </si>
  <si>
    <t>042:43:41.18 N</t>
  </si>
  <si>
    <t>077:43:47.73 W</t>
  </si>
  <si>
    <t>042:43:45.04 N</t>
  </si>
  <si>
    <t>077:43:44.71 W</t>
  </si>
  <si>
    <t>042:43:48.28 N</t>
  </si>
  <si>
    <t>077:43:42.01 W</t>
  </si>
  <si>
    <t>042:43:51.22 N</t>
  </si>
  <si>
    <t>077:43:39.46 W</t>
  </si>
  <si>
    <t>042:43:54.62 N</t>
  </si>
  <si>
    <t>077:43:36.91 W</t>
  </si>
  <si>
    <t>042:43:57.94 N</t>
  </si>
  <si>
    <t>077:43:34.21 W</t>
  </si>
  <si>
    <t>042:44:01.80 N</t>
  </si>
  <si>
    <t>077:43:30.96 W</t>
  </si>
  <si>
    <t>042:44:04.97 N</t>
  </si>
  <si>
    <t>077:43:28.41 W</t>
  </si>
  <si>
    <t>042:44:08.37 N</t>
  </si>
  <si>
    <t>077:43:25.94 W</t>
  </si>
  <si>
    <t>042:44:11.53 N</t>
  </si>
  <si>
    <t>077:43:23.16 W</t>
  </si>
  <si>
    <t>042:44:14.55 N</t>
  </si>
  <si>
    <t>077:43:20.84 W</t>
  </si>
  <si>
    <t>042:44:17.64 N</t>
  </si>
  <si>
    <t>077:43:18.37 W</t>
  </si>
  <si>
    <t>042:44:21.11 N</t>
  </si>
  <si>
    <t>077:43:15.59 W</t>
  </si>
  <si>
    <t>042:44:24.05 N</t>
  </si>
  <si>
    <t>077:43:13.27 W</t>
  </si>
  <si>
    <t>042:44:27.22 N</t>
  </si>
  <si>
    <t>077:43:10.80 W</t>
  </si>
  <si>
    <t>042:44:30.31 N</t>
  </si>
  <si>
    <t>077:43:08.33 W</t>
  </si>
  <si>
    <t>042:45:11.32 N</t>
  </si>
  <si>
    <t>077:42:35.81 W</t>
  </si>
  <si>
    <t>042:45:14.49 N</t>
  </si>
  <si>
    <t>077:42:33.26 W</t>
  </si>
  <si>
    <t>042:45:18.12 N</t>
  </si>
  <si>
    <t>077:42:30.56 W</t>
  </si>
  <si>
    <t>042:45:20.75 N</t>
  </si>
  <si>
    <t>077:42:28.39 W</t>
  </si>
  <si>
    <t>042:45:23.38 N</t>
  </si>
  <si>
    <t>077:42:26.46 W</t>
  </si>
  <si>
    <t>042:45:25.92 N</t>
  </si>
  <si>
    <t>077:42:24.30 W</t>
  </si>
  <si>
    <t>042:45:29.17 N</t>
  </si>
  <si>
    <t>077:42:21.75 W</t>
  </si>
  <si>
    <t>042:45:31.95 N</t>
  </si>
  <si>
    <t>077:42:19.74 W</t>
  </si>
  <si>
    <t>042:45:35.19 N</t>
  </si>
  <si>
    <t>077:42:17.19 W</t>
  </si>
  <si>
    <t>042:45:38.21 N</t>
  </si>
  <si>
    <t>077:42:14.80 W</t>
  </si>
  <si>
    <t>042:45:40.83 N</t>
  </si>
  <si>
    <t>077:42:12.79 W</t>
  </si>
  <si>
    <t>042:45:43.69 N</t>
  </si>
  <si>
    <t>077:42:10.47 W</t>
  </si>
  <si>
    <t>042:45:46.55 N</t>
  </si>
  <si>
    <t>077:42:08.38 W</t>
  </si>
  <si>
    <t>042:45:49.25 N</t>
  </si>
  <si>
    <t>077:42:06.14 W</t>
  </si>
  <si>
    <t>042:45:52.11 N</t>
  </si>
  <si>
    <t>077:42:04.06 W</t>
  </si>
  <si>
    <t>042:45:54.27 N</t>
  </si>
  <si>
    <t>077:42:02.21 W</t>
  </si>
  <si>
    <t>042:45:57.36 N</t>
  </si>
  <si>
    <t>077:41:59.96 W</t>
  </si>
  <si>
    <t>042:45:59.76 N</t>
  </si>
  <si>
    <t>077:41:58.03 W</t>
  </si>
  <si>
    <t>042:46:02.62 N</t>
  </si>
  <si>
    <t>077:41:55.79 W</t>
  </si>
  <si>
    <t>042:46:05.32 N</t>
  </si>
  <si>
    <t>077:41:53.71 W</t>
  </si>
  <si>
    <t>042:46:08.02 N</t>
  </si>
  <si>
    <t>077:41:51.62 W</t>
  </si>
  <si>
    <t>042:46:10.88 N</t>
  </si>
  <si>
    <t>077:41:49.54 W</t>
  </si>
  <si>
    <t>042:46:13.20 N</t>
  </si>
  <si>
    <t>077:41:47.61 W</t>
  </si>
  <si>
    <t>042:46:15.83 N</t>
  </si>
  <si>
    <t>077:41:45.60 W</t>
  </si>
  <si>
    <t>042:46:18.38 N</t>
  </si>
  <si>
    <t>077:41:43.59 W</t>
  </si>
  <si>
    <t>042:46:21.23 N</t>
  </si>
  <si>
    <t>077:41:41.35 W</t>
  </si>
  <si>
    <t>042:46:24.25 N</t>
  </si>
  <si>
    <t>077:41:38.95 W</t>
  </si>
  <si>
    <t>042:46:26.49 N</t>
  </si>
  <si>
    <t>077:41:37.25 W</t>
  </si>
  <si>
    <t>042:46:30.97 N</t>
  </si>
  <si>
    <t>077:41:33.70 W</t>
  </si>
  <si>
    <t>042:46:33.90 N</t>
  </si>
  <si>
    <t>077:41:31.46 W</t>
  </si>
  <si>
    <t>042:46:36.14 N</t>
  </si>
  <si>
    <t>077:41:29.76 W</t>
  </si>
  <si>
    <t>042:46:38.85 N</t>
  </si>
  <si>
    <t>077:41:27.75 W</t>
  </si>
  <si>
    <t>042:46:41.16 N</t>
  </si>
  <si>
    <t>077:41:25.82 W</t>
  </si>
  <si>
    <t>042:46:43.87 N</t>
  </si>
  <si>
    <t>077:41:23.81 W</t>
  </si>
  <si>
    <t>042:46:46.03 N</t>
  </si>
  <si>
    <t>077:41:22.19 W</t>
  </si>
  <si>
    <t>042:46:48.73 N</t>
  </si>
  <si>
    <t>077:41:19.95 W</t>
  </si>
  <si>
    <t>042:46:51.05 N</t>
  </si>
  <si>
    <t>077:41:18.33 W</t>
  </si>
  <si>
    <t>042:46:53.91 N</t>
  </si>
  <si>
    <t>077:41:16.17 W</t>
  </si>
  <si>
    <t>042:46:55.84 N</t>
  </si>
  <si>
    <t>077:41:14.62 W</t>
  </si>
  <si>
    <t>042:46:58.31 N</t>
  </si>
  <si>
    <t>077:41:12.53 W</t>
  </si>
  <si>
    <t>042:47:00.78 N</t>
  </si>
  <si>
    <t>077:41:10.76 W</t>
  </si>
  <si>
    <t>042:47:03.26 N</t>
  </si>
  <si>
    <t>077:41:08.75 W</t>
  </si>
  <si>
    <t>042:47:05.73 N</t>
  </si>
  <si>
    <t>077:41:06.74 W</t>
  </si>
  <si>
    <t>042:47:08.20 N</t>
  </si>
  <si>
    <t>077:41:04.89 W</t>
  </si>
  <si>
    <t>042:47:10.52 N</t>
  </si>
  <si>
    <t>077:41:03.11 W</t>
  </si>
  <si>
    <t>042:47:13.22 N</t>
  </si>
  <si>
    <t>077:41:01.03 W</t>
  </si>
  <si>
    <t>042:47:15.69 N</t>
  </si>
  <si>
    <t>077:40:58.94 W</t>
  </si>
  <si>
    <t>042:47:18.09 N</t>
  </si>
  <si>
    <t>077:40:57.16 W</t>
  </si>
  <si>
    <t>042:47:20.41 N</t>
  </si>
  <si>
    <t>077:40:55.31 W</t>
  </si>
  <si>
    <t>042:47:22.72 N</t>
  </si>
  <si>
    <t>077:40:53.45 W</t>
  </si>
  <si>
    <t>042:47:25.27 N</t>
  </si>
  <si>
    <t>077:40:51.60 W</t>
  </si>
  <si>
    <t>042:47:27.59 N</t>
  </si>
  <si>
    <t>077:40:49.75 W</t>
  </si>
  <si>
    <t>042:47:29.44 N</t>
  </si>
  <si>
    <t>077:40:48.43 W</t>
  </si>
  <si>
    <t>042:47:31.84 N</t>
  </si>
  <si>
    <t>077:40:46.58 W</t>
  </si>
  <si>
    <t>042:47:33.92 N</t>
  </si>
  <si>
    <t>077:40:44.96 W</t>
  </si>
  <si>
    <t>042:47:36.47 N</t>
  </si>
  <si>
    <t>077:40:42.87 W</t>
  </si>
  <si>
    <t>042:47:40.88 N</t>
  </si>
  <si>
    <t>077:40:39.55 W</t>
  </si>
  <si>
    <t>042:47:43.12 N</t>
  </si>
  <si>
    <t>077:40:37.54 W</t>
  </si>
  <si>
    <t>042:47:45.43 N</t>
  </si>
  <si>
    <t>077:40:35.92 W</t>
  </si>
  <si>
    <t>042:47:47.75 N</t>
  </si>
  <si>
    <t>077:40:33.91 W</t>
  </si>
  <si>
    <t>042:47:50.38 N</t>
  </si>
  <si>
    <t>077:40:32.06 W</t>
  </si>
  <si>
    <t>042:47:53.00 N</t>
  </si>
  <si>
    <t>077:40:30.13 W</t>
  </si>
  <si>
    <t>042:47:55.32 N</t>
  </si>
  <si>
    <t>077:40:28.27 W</t>
  </si>
  <si>
    <t>042:47:57.64 N</t>
  </si>
  <si>
    <t>077:40:26.26 W</t>
  </si>
  <si>
    <t>042:48:00.11 N</t>
  </si>
  <si>
    <t>077:40:24.49 W</t>
  </si>
  <si>
    <t>042:48:02.43 N</t>
  </si>
  <si>
    <t>077:40:22.71 W</t>
  </si>
  <si>
    <t>042:48:04.75 N</t>
  </si>
  <si>
    <t>077:40:20.86 W</t>
  </si>
  <si>
    <t>042:48:06.99 N</t>
  </si>
  <si>
    <t>077:40:19.16 W</t>
  </si>
  <si>
    <t>042:48:09.30 N</t>
  </si>
  <si>
    <t>077:40:17.15 W</t>
  </si>
  <si>
    <t>042:48:11.70 N</t>
  </si>
  <si>
    <t>077:40:15.29 W</t>
  </si>
  <si>
    <t>042:48:14.02 N</t>
  </si>
  <si>
    <t>077:40:13.44 W</t>
  </si>
  <si>
    <t>042:48:16.41 N</t>
  </si>
  <si>
    <t>077:40:11.59 W</t>
  </si>
  <si>
    <t>042:48:19.04 N</t>
  </si>
  <si>
    <t>077:40:09.42 W</t>
  </si>
  <si>
    <t>042:48:21.35 N</t>
  </si>
  <si>
    <t>077:40:07.42 W</t>
  </si>
  <si>
    <t>042:48:24.37 N</t>
  </si>
  <si>
    <t>077:40:05.18 W</t>
  </si>
  <si>
    <t>042:48:26.45 N</t>
  </si>
  <si>
    <t>077:40:03.32 W</t>
  </si>
  <si>
    <t>042:48:29.16 N</t>
  </si>
  <si>
    <t>077:40:01.31 W</t>
  </si>
  <si>
    <t>042:48:31.63 N</t>
  </si>
  <si>
    <t>077:39:59.30 W</t>
  </si>
  <si>
    <t>042:48:33.87 N</t>
  </si>
  <si>
    <t>077:39:57.37 W</t>
  </si>
  <si>
    <t>042:48:36.34 N</t>
  </si>
  <si>
    <t>077:39:55.29 W</t>
  </si>
  <si>
    <t>042:48:38.81 N</t>
  </si>
  <si>
    <t>077:39:53.43 W</t>
  </si>
  <si>
    <t>042:48:41.28 N</t>
  </si>
  <si>
    <t>077:39:51.35 W</t>
  </si>
  <si>
    <t>042:48:43.76 N</t>
  </si>
  <si>
    <t>077:39:49.34 W</t>
  </si>
  <si>
    <t>042:48:46.23 N</t>
  </si>
  <si>
    <t>077:39:47.25 W</t>
  </si>
  <si>
    <t>042:48:48.24 N</t>
  </si>
  <si>
    <t>077:39:45.63 W</t>
  </si>
  <si>
    <t>042:48:50.71 N</t>
  </si>
  <si>
    <t>077:39:43.78 W</t>
  </si>
  <si>
    <t>042:48:53.64 N</t>
  </si>
  <si>
    <t>077:39:41.23 W</t>
  </si>
  <si>
    <t>042:48:55.96 N</t>
  </si>
  <si>
    <t>077:39:39.30 W</t>
  </si>
  <si>
    <t>042:48:58.59 N</t>
  </si>
  <si>
    <t>077:39:37.13 W</t>
  </si>
  <si>
    <t>042:49:01.29 N</t>
  </si>
  <si>
    <t>077:39:35.05 W</t>
  </si>
  <si>
    <t>042:49:03.76 N</t>
  </si>
  <si>
    <t>077:39:32.96 W</t>
  </si>
  <si>
    <t>042:49:06.00 N</t>
  </si>
  <si>
    <t>077:39:31.03 W</t>
  </si>
  <si>
    <t>042:49:08.47 N</t>
  </si>
  <si>
    <t>077:39:28.95 W</t>
  </si>
  <si>
    <t>042:49:11.02 N</t>
  </si>
  <si>
    <t>077:39:26.78 W</t>
  </si>
  <si>
    <t>042:49:13.80 N</t>
  </si>
  <si>
    <t>077:39:24.47 W</t>
  </si>
  <si>
    <t>042:49:16.43 N</t>
  </si>
  <si>
    <t>077:39:22.38 W</t>
  </si>
  <si>
    <t>042:49:19.21 N</t>
  </si>
  <si>
    <t>077:39:19.99 W</t>
  </si>
  <si>
    <t>042:49:21.53 N</t>
  </si>
  <si>
    <t>077:39:18.05 W</t>
  </si>
  <si>
    <t>042:49:24.16 N</t>
  </si>
  <si>
    <t>077:39:15.97 W</t>
  </si>
  <si>
    <t>042:49:26.94 N</t>
  </si>
  <si>
    <t>077:39:13.65 W</t>
  </si>
  <si>
    <t>042:49:29.64 N</t>
  </si>
  <si>
    <t>077:39:11.49 W</t>
  </si>
  <si>
    <t>042:49:32.65 N</t>
  </si>
  <si>
    <t>077:39:08.94 W</t>
  </si>
  <si>
    <t>042:49:35.51 N</t>
  </si>
  <si>
    <t>077:39:06.54 W</t>
  </si>
  <si>
    <t>042:49:37.83 N</t>
  </si>
  <si>
    <t>077:39:04.46 W</t>
  </si>
  <si>
    <t>042:49:40.38 N</t>
  </si>
  <si>
    <t>077:39:02.30 W</t>
  </si>
  <si>
    <t>042:49:43.08 N</t>
  </si>
  <si>
    <t>077:38:59.90 W</t>
  </si>
  <si>
    <t>042:49:46.02 N</t>
  </si>
  <si>
    <t>077:38:57.66 W</t>
  </si>
  <si>
    <t>042:49:48.57 N</t>
  </si>
  <si>
    <t>077:38:55.27 W</t>
  </si>
  <si>
    <t>042:49:50.88 N</t>
  </si>
  <si>
    <t>077:38:53.41 W</t>
  </si>
  <si>
    <t>042:49:53.51 N</t>
  </si>
  <si>
    <t>077:38:51.09 W</t>
  </si>
  <si>
    <t>042:49:56.29 N</t>
  </si>
  <si>
    <t>077:38:48.70 W</t>
  </si>
  <si>
    <t>042:49:58.76 N</t>
  </si>
  <si>
    <t>077:38:46.54 W</t>
  </si>
  <si>
    <t>042:50:01.54 N</t>
  </si>
  <si>
    <t>077:38:43.99 W</t>
  </si>
  <si>
    <t>042:50:04.48 N</t>
  </si>
  <si>
    <t>077:38:41.59 W</t>
  </si>
  <si>
    <t>042:50:07.18 N</t>
  </si>
  <si>
    <t>077:38:39.51 W</t>
  </si>
  <si>
    <t>042:50:09.65 N</t>
  </si>
  <si>
    <t>077:38:37.11 W</t>
  </si>
  <si>
    <t>042:50:12.20 N</t>
  </si>
  <si>
    <t>077:38:35.03 W</t>
  </si>
  <si>
    <t>042:50:45.73 N</t>
  </si>
  <si>
    <t>077:38:06.06 W</t>
  </si>
  <si>
    <t>042:50:48.36 N</t>
  </si>
  <si>
    <t>077:38:03.74 W</t>
  </si>
  <si>
    <t>042:50:51.37 N</t>
  </si>
  <si>
    <t>077:38:01.12 W</t>
  </si>
  <si>
    <t>042:50:53.69 N</t>
  </si>
  <si>
    <t>077:37:59.18 W</t>
  </si>
  <si>
    <t>042:50:56.62 N</t>
  </si>
  <si>
    <t>077:37:56.63 W</t>
  </si>
  <si>
    <t>042:50:59.40 N</t>
  </si>
  <si>
    <t>077:37:54.09 W</t>
  </si>
  <si>
    <t>042:51:01.87 N</t>
  </si>
  <si>
    <t>077:37:51.77 W</t>
  </si>
  <si>
    <t>042:51:04.81 N</t>
  </si>
  <si>
    <t>077:37:49.37 W</t>
  </si>
  <si>
    <t>042:51:07.67 N</t>
  </si>
  <si>
    <t>077:37:46.75 W</t>
  </si>
  <si>
    <t>042:51:10.53 N</t>
  </si>
  <si>
    <t>077:37:44.20 W</t>
  </si>
  <si>
    <t>042:51:12.77 N</t>
  </si>
  <si>
    <t>077:37:42.11 W</t>
  </si>
  <si>
    <t>042:51:15.39 N</t>
  </si>
  <si>
    <t>077:37:39.87 W</t>
  </si>
  <si>
    <t>042:51:17.86 N</t>
  </si>
  <si>
    <t>077:37:37.79 W</t>
  </si>
  <si>
    <t>042:51:20.88 N</t>
  </si>
  <si>
    <t>077:37:35.24 W</t>
  </si>
  <si>
    <t>042:51:23.27 N</t>
  </si>
  <si>
    <t>077:37:33.07 W</t>
  </si>
  <si>
    <t>042:51:25.90 N</t>
  </si>
  <si>
    <t>077:37:30.76 W</t>
  </si>
  <si>
    <t>042:51:28.45 N</t>
  </si>
  <si>
    <t>077:37:28.59 W</t>
  </si>
  <si>
    <t>042:51:31.23 N</t>
  </si>
  <si>
    <t>077:37:26.04 W</t>
  </si>
  <si>
    <t>042:51:33.85 N</t>
  </si>
  <si>
    <t>077:37:23.73 W</t>
  </si>
  <si>
    <t>042:51:37.18 N</t>
  </si>
  <si>
    <t>077:37:20.79 W</t>
  </si>
  <si>
    <t>042:51:39.96 N</t>
  </si>
  <si>
    <t>077:37:18.24 W</t>
  </si>
  <si>
    <t>042:51:42.74 N</t>
  </si>
  <si>
    <t>077:37:15.93 W</t>
  </si>
  <si>
    <t>042:51:45.83 N</t>
  </si>
  <si>
    <t>077:37:13.07 W</t>
  </si>
  <si>
    <t>042:51:48.38 N</t>
  </si>
  <si>
    <t>077:37:10.90 W</t>
  </si>
  <si>
    <t>042:51:51.54 N</t>
  </si>
  <si>
    <t>077:37:08.12 W</t>
  </si>
  <si>
    <t>042:51:57.11 N</t>
  </si>
  <si>
    <t>077:37:02.95 W</t>
  </si>
  <si>
    <t>042:51:59.73 N</t>
  </si>
  <si>
    <t>077:37:00.78 W</t>
  </si>
  <si>
    <t>042:52:02.67 N</t>
  </si>
  <si>
    <t>077:36:58.24 W</t>
  </si>
  <si>
    <t>042:52:05.84 N</t>
  </si>
  <si>
    <t>077:36:55.45 W</t>
  </si>
  <si>
    <t>042:52:08.46 N</t>
  </si>
  <si>
    <t>077:36:53.14 W</t>
  </si>
  <si>
    <t>042:52:11.01 N</t>
  </si>
  <si>
    <t>077:36:50.74 W</t>
  </si>
  <si>
    <t>042:52:13.56 N</t>
  </si>
  <si>
    <t>077:36:48.35 W</t>
  </si>
  <si>
    <t>077:36:45.80 W</t>
  </si>
  <si>
    <t>042:52:19.51 N</t>
  </si>
  <si>
    <t>077:36:43.02 W</t>
  </si>
  <si>
    <t>042:52:22.75 N</t>
  </si>
  <si>
    <t>077:36:40.16 W</t>
  </si>
  <si>
    <t>042:52:25.61 N</t>
  </si>
  <si>
    <t>077:36:37.53 W</t>
  </si>
  <si>
    <t>042:52:28.93 N</t>
  </si>
  <si>
    <t>077:36:34.52 W</t>
  </si>
  <si>
    <t>042:52:32.33 N</t>
  </si>
  <si>
    <t>077:36:31.35 W</t>
  </si>
  <si>
    <t>042:52:35.65 N</t>
  </si>
  <si>
    <t>077:36:28.34 W</t>
  </si>
  <si>
    <t>042:52:38.97 N</t>
  </si>
  <si>
    <t>077:36:25.33 W</t>
  </si>
  <si>
    <t>042:52:41.76 N</t>
  </si>
  <si>
    <t>077:36:22.55 W</t>
  </si>
  <si>
    <t>042:52:44.69 N</t>
  </si>
  <si>
    <t>077:36:20.08 W</t>
  </si>
  <si>
    <t>042:52:48.01 N</t>
  </si>
  <si>
    <t>077:36:17.29 W</t>
  </si>
  <si>
    <t>042:52:51.33 N</t>
  </si>
  <si>
    <t>077:36:14.51 W</t>
  </si>
  <si>
    <t>042:52:54.04 N</t>
  </si>
  <si>
    <t>077:36:12.35 W</t>
  </si>
  <si>
    <t>042:52:56.74 N</t>
  </si>
  <si>
    <t>077:36:10.42 W</t>
  </si>
  <si>
    <t>042:53:00.14 N</t>
  </si>
  <si>
    <t>077:36:07.87 W</t>
  </si>
  <si>
    <t>042:53:02.84 N</t>
  </si>
  <si>
    <t>077:36:05.78 W</t>
  </si>
  <si>
    <t>042:53:06.01 N</t>
  </si>
  <si>
    <t>077:36:03.70 W</t>
  </si>
  <si>
    <t>042:53:09.33 N</t>
  </si>
  <si>
    <t>077:36:01.30 W</t>
  </si>
  <si>
    <t>042:53:12.11 N</t>
  </si>
  <si>
    <t>077:35:59.37 W</t>
  </si>
  <si>
    <t>042:53:15.51 N</t>
  </si>
  <si>
    <t>077:35:57.06 W</t>
  </si>
  <si>
    <t>042:53:18.68 N</t>
  </si>
  <si>
    <t>077:35:55.20 W</t>
  </si>
  <si>
    <t>042:53:21.46 N</t>
  </si>
  <si>
    <t>077:35:53.12 W</t>
  </si>
  <si>
    <t>042:53:24.24 N</t>
  </si>
  <si>
    <t>077:35:51.42 W</t>
  </si>
  <si>
    <t>042:53:27.25 N</t>
  </si>
  <si>
    <t>077:35:49.25 W</t>
  </si>
  <si>
    <t>042:53:30.42 N</t>
  </si>
  <si>
    <t>077:35:47.40 W</t>
  </si>
  <si>
    <t>042:53:33.36 N</t>
  </si>
  <si>
    <t>077:35:45.55 W</t>
  </si>
  <si>
    <t>042:53:36.45 N</t>
  </si>
  <si>
    <t>077:35:43.69 W</t>
  </si>
  <si>
    <t>042:53:39.85 N</t>
  </si>
  <si>
    <t>077:35:41.53 W</t>
  </si>
  <si>
    <t>042:53:46.49 N</t>
  </si>
  <si>
    <t>077:35:37.74 W</t>
  </si>
  <si>
    <t>042:53:50.04 N</t>
  </si>
  <si>
    <t>077:35:35.66 W</t>
  </si>
  <si>
    <t>042:53:53.44 N</t>
  </si>
  <si>
    <t>077:35:33.80 W</t>
  </si>
  <si>
    <t>042:53:56.61 N</t>
  </si>
  <si>
    <t>077:35:32.03 W</t>
  </si>
  <si>
    <t>042:53:59.08 N</t>
  </si>
  <si>
    <t>077:35:30.64 W</t>
  </si>
  <si>
    <t>042:54:02.32 N</t>
  </si>
  <si>
    <t>077:35:29.01 W</t>
  </si>
  <si>
    <t>042:54:05.80 N</t>
  </si>
  <si>
    <t>077:35:27.16 W</t>
  </si>
  <si>
    <t>042:54:09.28 N</t>
  </si>
  <si>
    <t>077:35:25.31 W</t>
  </si>
  <si>
    <t>042:54:12.14 N</t>
  </si>
  <si>
    <t>077:35:24.07 W</t>
  </si>
  <si>
    <t>042:54:15.38 N</t>
  </si>
  <si>
    <t>077:35:22.45 W</t>
  </si>
  <si>
    <t>042:54:18.86 N</t>
  </si>
  <si>
    <t>077:35:20.98 W</t>
  </si>
  <si>
    <t>042:54:21.71 N</t>
  </si>
  <si>
    <t>077:35:19.59 W</t>
  </si>
  <si>
    <t>042:54:24.57 N</t>
  </si>
  <si>
    <t>077:35:18.43 W</t>
  </si>
  <si>
    <t>042:54:28.13 N</t>
  </si>
  <si>
    <t>077:35:17.04 W</t>
  </si>
  <si>
    <t>042:54:31.68 N</t>
  </si>
  <si>
    <t>077:35:15.65 W</t>
  </si>
  <si>
    <t>042:54:34.77 N</t>
  </si>
  <si>
    <t>077:35:14.49 W</t>
  </si>
  <si>
    <t>042:54:37.78 N</t>
  </si>
  <si>
    <t>077:35:13.49 W</t>
  </si>
  <si>
    <t>042:54:41.03 N</t>
  </si>
  <si>
    <t>077:35:12.33 W</t>
  </si>
  <si>
    <t>042:54:43.88 N</t>
  </si>
  <si>
    <t>077:35:11.56 W</t>
  </si>
  <si>
    <t>042:54:50.30 N</t>
  </si>
  <si>
    <t>077:35:09.47 W</t>
  </si>
  <si>
    <t>042:54:53.62 N</t>
  </si>
  <si>
    <t>077:35:08.54 W</t>
  </si>
  <si>
    <t>042:54:57.09 N</t>
  </si>
  <si>
    <t>077:35:07.62 W</t>
  </si>
  <si>
    <t>042:55:00.65 N</t>
  </si>
  <si>
    <t>077:35:06.69 W</t>
  </si>
  <si>
    <t>042:55:03.58 N</t>
  </si>
  <si>
    <t>077:35:05.99 W</t>
  </si>
  <si>
    <t>042:55:06.44 N</t>
  </si>
  <si>
    <t>077:35:05.30 W</t>
  </si>
  <si>
    <t>042:55:09.76 N</t>
  </si>
  <si>
    <t>077:35:04.37 W</t>
  </si>
  <si>
    <t>042:55:13.55 N</t>
  </si>
  <si>
    <t>077:35:03.45 W</t>
  </si>
  <si>
    <t>042:55:16.64 N</t>
  </si>
  <si>
    <t>077:35:02.60 W</t>
  </si>
  <si>
    <t>042:55:19.11 N</t>
  </si>
  <si>
    <t>077:35:01.90 W</t>
  </si>
  <si>
    <t>042:55:22.43 N</t>
  </si>
  <si>
    <t>077:35:01.21 W</t>
  </si>
  <si>
    <t>042:55:25.21 N</t>
  </si>
  <si>
    <t>077:35:00.36 W</t>
  </si>
  <si>
    <t>042:55:28.07 N</t>
  </si>
  <si>
    <t>077:34:59.58 W</t>
  </si>
  <si>
    <t>042:55:31.16 N</t>
  </si>
  <si>
    <t>077:34:58.89 W</t>
  </si>
  <si>
    <t>042:55:33.94 N</t>
  </si>
  <si>
    <t>077:34:57.96 W</t>
  </si>
  <si>
    <t>042:55:36.80 N</t>
  </si>
  <si>
    <t>077:34:57.27 W</t>
  </si>
  <si>
    <t>042:55:39.50 N</t>
  </si>
  <si>
    <t>077:34:56.57 W</t>
  </si>
  <si>
    <t>042:55:42.21 N</t>
  </si>
  <si>
    <t>077:34:55.88 W</t>
  </si>
  <si>
    <t>042:55:44.99 N</t>
  </si>
  <si>
    <t>077:34:55.10 W</t>
  </si>
  <si>
    <t>042:55:48.46 N</t>
  </si>
  <si>
    <t>077:34:54.02 W</t>
  </si>
  <si>
    <t>042:55:51.86 N</t>
  </si>
  <si>
    <t>077:34:53.25 W</t>
  </si>
  <si>
    <t>042:55:54.57 N</t>
  </si>
  <si>
    <t>077:34:52.48 W</t>
  </si>
  <si>
    <t>042:55:57.73 N</t>
  </si>
  <si>
    <t>077:34:51.55 W</t>
  </si>
  <si>
    <t>042:56:00.90 N</t>
  </si>
  <si>
    <t>077:34:50.47 W</t>
  </si>
  <si>
    <t>042:56:03.60 N</t>
  </si>
  <si>
    <t>077:34:49.70 W</t>
  </si>
  <si>
    <t>042:56:06.77 N</t>
  </si>
  <si>
    <t>077:34:48.77 W</t>
  </si>
  <si>
    <t>042:56:09.71 N</t>
  </si>
  <si>
    <t>077:34:47.84 W</t>
  </si>
  <si>
    <t>042:56:12.49 N</t>
  </si>
  <si>
    <t>077:34:47.15 W</t>
  </si>
  <si>
    <t>042:56:15.50 N</t>
  </si>
  <si>
    <t>077:34:46.22 W</t>
  </si>
  <si>
    <t>042:56:18.51 N</t>
  </si>
  <si>
    <t>077:34:45.22 W</t>
  </si>
  <si>
    <t>042:56:22.22 N</t>
  </si>
  <si>
    <t>077:34:44.06 W</t>
  </si>
  <si>
    <t>042:56:25.54 N</t>
  </si>
  <si>
    <t>077:34:42.98 W</t>
  </si>
  <si>
    <t>042:56:28.48 N</t>
  </si>
  <si>
    <t>077:34:42.13 W</t>
  </si>
  <si>
    <t>042:56:31.49 N</t>
  </si>
  <si>
    <t>077:34:41.20 W</t>
  </si>
  <si>
    <t>042:56:34.43 N</t>
  </si>
  <si>
    <t>077:34:40.04 W</t>
  </si>
  <si>
    <t>042:56:37.44 N</t>
  </si>
  <si>
    <t>077:34:39.11 W</t>
  </si>
  <si>
    <t>042:56:40.14 N</t>
  </si>
  <si>
    <t>077:34:38.19 W</t>
  </si>
  <si>
    <t>042:56:43.54 N</t>
  </si>
  <si>
    <t>077:34:37.26 W</t>
  </si>
  <si>
    <t>042:56:45.78 N</t>
  </si>
  <si>
    <t>077:34:36.56 W</t>
  </si>
  <si>
    <t>042:56:49.03 N</t>
  </si>
  <si>
    <t>077:34:35.33 W</t>
  </si>
  <si>
    <t>042:56:51.73 N</t>
  </si>
  <si>
    <t>077:34:34.48 W</t>
  </si>
  <si>
    <t>042:56:55.36 N</t>
  </si>
  <si>
    <t>077:34:33.55 W</t>
  </si>
  <si>
    <t>042:56:57.91 N</t>
  </si>
  <si>
    <t>077:34:32.55 W</t>
  </si>
  <si>
    <t>042:57:01.46 N</t>
  </si>
  <si>
    <t>077:34:31.62 W</t>
  </si>
  <si>
    <t>042:57:04.09 N</t>
  </si>
  <si>
    <t>077:34:30.85 W</t>
  </si>
  <si>
    <t>042:57:07.10 N</t>
  </si>
  <si>
    <t>077:34:29.92 W</t>
  </si>
  <si>
    <t>042:57:10.04 N</t>
  </si>
  <si>
    <t>077:34:28.99 W</t>
  </si>
  <si>
    <t>042:57:13.13 N</t>
  </si>
  <si>
    <t>077:34:28.07 W</t>
  </si>
  <si>
    <t>042:57:53.37 N</t>
  </si>
  <si>
    <t>077:34:17.72 W</t>
  </si>
  <si>
    <t>042:57:56.08 N</t>
  </si>
  <si>
    <t>077:34:17.02 W</t>
  </si>
  <si>
    <t>077:34:16.79 W</t>
  </si>
  <si>
    <t>042:57:58.39 N</t>
  </si>
  <si>
    <t>077:34:16.56 W</t>
  </si>
  <si>
    <t>042:58:01.64 N</t>
  </si>
  <si>
    <t>077:34:15.86 W</t>
  </si>
  <si>
    <t>042:58:04.96 N</t>
  </si>
  <si>
    <t>077:34:15.09 W</t>
  </si>
  <si>
    <t>042:58:07.59 N</t>
  </si>
  <si>
    <t>077:34:14.47 W</t>
  </si>
  <si>
    <t>042:58:10.83 N</t>
  </si>
  <si>
    <t>077:34:13.70 W</t>
  </si>
  <si>
    <t>042:58:13.69 N</t>
  </si>
  <si>
    <t>077:34:13.00 W</t>
  </si>
  <si>
    <t>042:58:16.70 N</t>
  </si>
  <si>
    <t>077:34:12.31 W</t>
  </si>
  <si>
    <t>042:58:19.56 N</t>
  </si>
  <si>
    <t>077:34:11.61 W</t>
  </si>
  <si>
    <t>042:58:22.19 N</t>
  </si>
  <si>
    <t>077:34:11.07 W</t>
  </si>
  <si>
    <t>042:58:24.50 N</t>
  </si>
  <si>
    <t>077:34:10.38 W</t>
  </si>
  <si>
    <t>077:34:10.14 W</t>
  </si>
  <si>
    <t>042:58:27.52 N</t>
  </si>
  <si>
    <t>077:34:09.68 W</t>
  </si>
  <si>
    <t>042:58:30.76 N</t>
  </si>
  <si>
    <t>077:34:08.99 W</t>
  </si>
  <si>
    <t>042:58:33.46 N</t>
  </si>
  <si>
    <t>077:34:08.29 W</t>
  </si>
  <si>
    <t>042:58:36.63 N</t>
  </si>
  <si>
    <t>077:34:07.60 W</t>
  </si>
  <si>
    <t>042:58:39.64 N</t>
  </si>
  <si>
    <t>077:34:06.90 W</t>
  </si>
  <si>
    <t>042:58:42.50 N</t>
  </si>
  <si>
    <t>077:34:06.21 W</t>
  </si>
  <si>
    <t>042:58:45.28 N</t>
  </si>
  <si>
    <t>077:34:05.51 W</t>
  </si>
  <si>
    <t>042:58:48.30 N</t>
  </si>
  <si>
    <t>077:34:05.05 W</t>
  </si>
  <si>
    <t>042:58:51.23 N</t>
  </si>
  <si>
    <t>077:34:04.35 W</t>
  </si>
  <si>
    <t>042:58:54.17 N</t>
  </si>
  <si>
    <t>077:34:03.89 W</t>
  </si>
  <si>
    <t>042:58:57.80 N</t>
  </si>
  <si>
    <t>077:34:03.42 W</t>
  </si>
  <si>
    <t>042:59:01.12 N</t>
  </si>
  <si>
    <t>077:34:02.88 W</t>
  </si>
  <si>
    <t>042:59:04.13 N</t>
  </si>
  <si>
    <t>077:34:02.42 W</t>
  </si>
  <si>
    <t>042:59:06.68 N</t>
  </si>
  <si>
    <t>077:34:02.34 W</t>
  </si>
  <si>
    <t>042:59:10.16 N</t>
  </si>
  <si>
    <t>077:34:01.96 W</t>
  </si>
  <si>
    <t>042:59:12.78 N</t>
  </si>
  <si>
    <t>077:34:01.65 W</t>
  </si>
  <si>
    <t>042:59:16.03 N</t>
  </si>
  <si>
    <t>077:34:01.49 W</t>
  </si>
  <si>
    <t>042:59:19.04 N</t>
  </si>
  <si>
    <t>077:34:01.26 W</t>
  </si>
  <si>
    <t>042:59:21.74 N</t>
  </si>
  <si>
    <t>077:34:01.18 W</t>
  </si>
  <si>
    <t>042:59:25.07 N</t>
  </si>
  <si>
    <t>077:34:01.03 W</t>
  </si>
  <si>
    <t>042:59:28.08 N</t>
  </si>
  <si>
    <t>077:34:00.72 W</t>
  </si>
  <si>
    <t>042:59:31.40 N</t>
  </si>
  <si>
    <t>042:59:34.41 N</t>
  </si>
  <si>
    <t>077:34:00.49 W</t>
  </si>
  <si>
    <t>042:59:36.88 N</t>
  </si>
  <si>
    <t>077:34:00.26 W</t>
  </si>
  <si>
    <t>042:59:40.13 N</t>
  </si>
  <si>
    <t>077:34:00.03 W</t>
  </si>
  <si>
    <t>042:59:43.45 N</t>
  </si>
  <si>
    <t>077:33:59.79 W</t>
  </si>
  <si>
    <t>042:59:46.46 N</t>
  </si>
  <si>
    <t>042:59:49.40 N</t>
  </si>
  <si>
    <t>077:33:59.56 W</t>
  </si>
  <si>
    <t>042:59:52.02 N</t>
  </si>
  <si>
    <t>077:33:59.33 W</t>
  </si>
  <si>
    <t>042:59:55.04 N</t>
  </si>
  <si>
    <t>077:33:59.10 W</t>
  </si>
  <si>
    <t>042:59:57.43 N</t>
  </si>
  <si>
    <t>043:00:00.75 N</t>
  </si>
  <si>
    <t>077:33:58.87 W</t>
  </si>
  <si>
    <t>043:00:03.77 N</t>
  </si>
  <si>
    <t>043:00:06.47 N</t>
  </si>
  <si>
    <t>077:33:58.64 W</t>
  </si>
  <si>
    <t>043:00:09.64 N</t>
  </si>
  <si>
    <t>043:00:12.96 N</t>
  </si>
  <si>
    <t>043:00:15.82 N</t>
  </si>
  <si>
    <t>077:33:58.40 W</t>
  </si>
  <si>
    <t>043:00:18.83 N</t>
  </si>
  <si>
    <t>043:00:21.69 N</t>
  </si>
  <si>
    <t>043:00:25.24 N</t>
  </si>
  <si>
    <t>077:33:58.17 W</t>
  </si>
  <si>
    <t>043:00:28.25 N</t>
  </si>
  <si>
    <t>043:00:30.73 N</t>
  </si>
  <si>
    <t>043:00:33.43 N</t>
  </si>
  <si>
    <t>043:00:36.44 N</t>
  </si>
  <si>
    <t>043:00:39.69 N</t>
  </si>
  <si>
    <t>043:00:42.47 N</t>
  </si>
  <si>
    <t>077:33:57.94 W</t>
  </si>
  <si>
    <t>043:00:45.63 N</t>
  </si>
  <si>
    <t>043:00:49.19 N</t>
  </si>
  <si>
    <t>043:00:52.05 N</t>
  </si>
  <si>
    <t>043:00:54.90 N</t>
  </si>
  <si>
    <t>043:00:57.61 N</t>
  </si>
  <si>
    <t>043:01:00.39 N</t>
  </si>
  <si>
    <t>043:01:03.09 N</t>
  </si>
  <si>
    <t>043:01:06.18 N</t>
  </si>
  <si>
    <t>043:01:09.19 N</t>
  </si>
  <si>
    <t>043:01:11.67 N</t>
  </si>
  <si>
    <t>043:01:14.29 N</t>
  </si>
  <si>
    <t>043:01:17.23 N</t>
  </si>
  <si>
    <t>043:01:20.32 N</t>
  </si>
  <si>
    <t>043:01:23.49 N</t>
  </si>
  <si>
    <t>043:01:26.50 N</t>
  </si>
  <si>
    <t>077:33:57.71 W</t>
  </si>
  <si>
    <t>043:01:28.89 N</t>
  </si>
  <si>
    <t>043:01:31.60 N</t>
  </si>
  <si>
    <t>043:01:34.38 N</t>
  </si>
  <si>
    <t>077:33:57.48 W</t>
  </si>
  <si>
    <t>043:01:37.31 N</t>
  </si>
  <si>
    <t>043:01:40.17 N</t>
  </si>
  <si>
    <t>043:01:42.95 N</t>
  </si>
  <si>
    <t>077:33:57.24 W</t>
  </si>
  <si>
    <t>043:01:45.73 N</t>
  </si>
  <si>
    <t>043:01:48.05 N</t>
  </si>
  <si>
    <t>043:01:50.37 N</t>
  </si>
  <si>
    <t>043:01:53.38 N</t>
  </si>
  <si>
    <t>043:01:55.93 N</t>
  </si>
  <si>
    <t>077:33:57.01 W</t>
  </si>
  <si>
    <t>043:01:58.25 N</t>
  </si>
  <si>
    <t>043:02:01.11 N</t>
  </si>
  <si>
    <t>077:33:56.78 W</t>
  </si>
  <si>
    <t>043:02:04.12 N</t>
  </si>
  <si>
    <t>043:02:06.28 N</t>
  </si>
  <si>
    <t>043:02:09.14 N</t>
  </si>
  <si>
    <t>043:02:12.00 N</t>
  </si>
  <si>
    <t>077:33:56.55 W</t>
  </si>
  <si>
    <t>043:02:15.32 N</t>
  </si>
  <si>
    <t>043:02:17.87 N</t>
  </si>
  <si>
    <t>043:02:20.65 N</t>
  </si>
  <si>
    <t>077:33:56.32 W</t>
  </si>
  <si>
    <t>043:02:23.51 N</t>
  </si>
  <si>
    <t>043:02:26.29 N</t>
  </si>
  <si>
    <t>077:33:56.09 W</t>
  </si>
  <si>
    <t>043:02:28.91 N</t>
  </si>
  <si>
    <t>043:02:32.08 N</t>
  </si>
  <si>
    <t>077:33:55.85 W</t>
  </si>
  <si>
    <t>043:02:34.63 N</t>
  </si>
  <si>
    <t>077:33:55.78 W</t>
  </si>
  <si>
    <t>043:02:39.96 N</t>
  </si>
  <si>
    <t>077:33:55.39 W</t>
  </si>
  <si>
    <t>043:02:42.90 N</t>
  </si>
  <si>
    <t>043:02:45.75 N</t>
  </si>
  <si>
    <t>077:33:55.16 W</t>
  </si>
  <si>
    <t>043:02:48.30 N</t>
  </si>
  <si>
    <t>077:33:55.08 W</t>
  </si>
  <si>
    <t>043:02:51.16 N</t>
  </si>
  <si>
    <t>043:02:54.33 N</t>
  </si>
  <si>
    <t>077:33:54.93 W</t>
  </si>
  <si>
    <t>043:02:57.11 N</t>
  </si>
  <si>
    <t>077:33:54.85 W</t>
  </si>
  <si>
    <t>043:03:00.28 N</t>
  </si>
  <si>
    <t>077:33:54.70 W</t>
  </si>
  <si>
    <t>043:03:02.90 N</t>
  </si>
  <si>
    <t>043:03:05.30 N</t>
  </si>
  <si>
    <t>077:33:54.62 W</t>
  </si>
  <si>
    <t>043:03:08.08 N</t>
  </si>
  <si>
    <t>043:03:10.78 N</t>
  </si>
  <si>
    <t>043:03:13.33 N</t>
  </si>
  <si>
    <t>043:03:16.34 N</t>
  </si>
  <si>
    <t>077:33:54.46 W</t>
  </si>
  <si>
    <t>043:03:19.36 N</t>
  </si>
  <si>
    <t>043:03:22.22 N</t>
  </si>
  <si>
    <t>043:03:25.07 N</t>
  </si>
  <si>
    <t>077:33:54.39 W</t>
  </si>
  <si>
    <t>043:03:27.62 N</t>
  </si>
  <si>
    <t>043:03:30.87 N</t>
  </si>
  <si>
    <t>043:03:33.18 N</t>
  </si>
  <si>
    <t>043:03:36.27 N</t>
  </si>
  <si>
    <t>043:03:38.44 N</t>
  </si>
  <si>
    <t>043:03:40.91 N</t>
  </si>
  <si>
    <t>077:33:54.23 W</t>
  </si>
  <si>
    <t>043:03:43.46 N</t>
  </si>
  <si>
    <t>077:33:54.15 W</t>
  </si>
  <si>
    <t>043:03:46.55 N</t>
  </si>
  <si>
    <t>077:33:54.00 W</t>
  </si>
  <si>
    <t>043:03:49.48 N</t>
  </si>
  <si>
    <t>077:33:53.92 W</t>
  </si>
  <si>
    <t>043:03:52.50 N</t>
  </si>
  <si>
    <t>077:33:53.77 W</t>
  </si>
  <si>
    <t>043:03:55.28 N</t>
  </si>
  <si>
    <t>077:33:53.54 W</t>
  </si>
  <si>
    <t>043:03:57.90 N</t>
  </si>
  <si>
    <t>077:33:53.38 W</t>
  </si>
  <si>
    <t>043:04:00.92 N</t>
  </si>
  <si>
    <t>077:33:53.46 W</t>
  </si>
  <si>
    <t>043:04:03.85 N</t>
  </si>
  <si>
    <t>077:33:53.15 W</t>
  </si>
  <si>
    <t>043:04:06.48 N</t>
  </si>
  <si>
    <t>043:04:08.80 N</t>
  </si>
  <si>
    <t>077:33:53.00 W</t>
  </si>
  <si>
    <t>043:04:11.50 N</t>
  </si>
  <si>
    <t>077:33:52.92 W</t>
  </si>
  <si>
    <t>043:04:14.13 N</t>
  </si>
  <si>
    <t>043:04:17.06 N</t>
  </si>
  <si>
    <t>043:04:19.38 N</t>
  </si>
  <si>
    <t>077:33:52.76 W</t>
  </si>
  <si>
    <t>043:04:21.62 N</t>
  </si>
  <si>
    <t>077:33:52.69 W</t>
  </si>
  <si>
    <t>043:04:24.55 N</t>
  </si>
  <si>
    <t>043:04:27.18 N</t>
  </si>
  <si>
    <t>043:04:29.58 N</t>
  </si>
  <si>
    <t>043:04:31.89 N</t>
  </si>
  <si>
    <t>043:05:09.74 N</t>
  </si>
  <si>
    <t>077:33:51.30 W</t>
  </si>
  <si>
    <t>043:05:11.98 N</t>
  </si>
  <si>
    <t>077:33:51.37 W</t>
  </si>
  <si>
    <t>077:33:51.14 W</t>
  </si>
  <si>
    <t>043:05:14.46 N</t>
  </si>
  <si>
    <t>043:05:17.01 N</t>
  </si>
  <si>
    <t>043:05:19.48 N</t>
  </si>
  <si>
    <t>043:05:22.26 N</t>
  </si>
  <si>
    <t>077:33:50.83 W</t>
  </si>
  <si>
    <t>043:05:24.73 N</t>
  </si>
  <si>
    <t>043:05:27.20 N</t>
  </si>
  <si>
    <t>043:05:29.67 N</t>
  </si>
  <si>
    <t>043:05:32.61 N</t>
  </si>
  <si>
    <t>077:33:50.60 W</t>
  </si>
  <si>
    <t>043:05:35.08 N</t>
  </si>
  <si>
    <t>043:05:37.78 N</t>
  </si>
  <si>
    <t>043:05:40.41 N</t>
  </si>
  <si>
    <t>043:05:42.88 N</t>
  </si>
  <si>
    <t>043:05:45.12 N</t>
  </si>
  <si>
    <t>043:05:47.67 N</t>
  </si>
  <si>
    <t>043:05:50.14 N</t>
  </si>
  <si>
    <t>043:05:53.16 N</t>
  </si>
  <si>
    <t>043:05:55.94 N</t>
  </si>
  <si>
    <t>077:33:51.76 W</t>
  </si>
  <si>
    <t>043:05:58.26 N</t>
  </si>
  <si>
    <t>077:33:51.84 W</t>
  </si>
  <si>
    <t>043:06:00.34 N</t>
  </si>
  <si>
    <t>077:33:52.22 W</t>
  </si>
  <si>
    <t>043:06:02.58 N</t>
  </si>
  <si>
    <t>077:33:52.53 W</t>
  </si>
  <si>
    <t>043:06:05.05 N</t>
  </si>
  <si>
    <t>043:06:07.45 N</t>
  </si>
  <si>
    <t>077:33:53.23 W</t>
  </si>
  <si>
    <t>043:06:09.61 N</t>
  </si>
  <si>
    <t>043:06:11.77 N</t>
  </si>
  <si>
    <t>043:06:14.63 N</t>
  </si>
  <si>
    <t>043:06:16.95 N</t>
  </si>
  <si>
    <t>077:33:55.55 W</t>
  </si>
  <si>
    <t>043:06:19.65 N</t>
  </si>
  <si>
    <t>043:06:21.66 N</t>
  </si>
  <si>
    <t>043:06:23.59 N</t>
  </si>
  <si>
    <t>043:06:25.68 N</t>
  </si>
  <si>
    <t>043:06:27.53 N</t>
  </si>
  <si>
    <t>043:06:29.93 N</t>
  </si>
  <si>
    <t>043:06:31.63 N</t>
  </si>
  <si>
    <t>077:34:03.27 W</t>
  </si>
  <si>
    <t>043:06:33.63 N</t>
  </si>
  <si>
    <t>077:34:04.81 W</t>
  </si>
  <si>
    <t>043:06:35.64 N</t>
  </si>
  <si>
    <t>077:34:06.44 W</t>
  </si>
  <si>
    <t>043:06:37.57 N</t>
  </si>
  <si>
    <t>043:06:39.43 N</t>
  </si>
  <si>
    <t>043:06:41.51 N</t>
  </si>
  <si>
    <t>077:34:12.46 W</t>
  </si>
  <si>
    <t>043:06:43.45 N</t>
  </si>
  <si>
    <t>077:34:14.63 W</t>
  </si>
  <si>
    <t>043:06:45.38 N</t>
  </si>
  <si>
    <t>043:06:47.00 N</t>
  </si>
  <si>
    <t>077:34:18.87 W</t>
  </si>
  <si>
    <t>043:06:48.31 N</t>
  </si>
  <si>
    <t>077:34:20.81 W</t>
  </si>
  <si>
    <t>043:06:49.86 N</t>
  </si>
  <si>
    <t>077:34:22.89 W</t>
  </si>
  <si>
    <t>043:06:51.40 N</t>
  </si>
  <si>
    <t>077:34:25.29 W</t>
  </si>
  <si>
    <t>043:06:53.02 N</t>
  </si>
  <si>
    <t>077:34:27.60 W</t>
  </si>
  <si>
    <t>043:06:54.41 N</t>
  </si>
  <si>
    <t>077:34:30.15 W</t>
  </si>
  <si>
    <t>043:06:55.73 N</t>
  </si>
  <si>
    <t>077:34:32.47 W</t>
  </si>
  <si>
    <t>043:06:56.73 N</t>
  </si>
  <si>
    <t>077:34:34.63 W</t>
  </si>
  <si>
    <t>043:06:57.74 N</t>
  </si>
  <si>
    <t>077:34:36.33 W</t>
  </si>
  <si>
    <t>043:06:58.89 N</t>
  </si>
  <si>
    <t>077:34:38.88 W</t>
  </si>
  <si>
    <t>043:06:59.82 N</t>
  </si>
  <si>
    <t>077:34:40.97 W</t>
  </si>
  <si>
    <t>043:07:00.90 N</t>
  </si>
  <si>
    <t>077:34:43.13 W</t>
  </si>
  <si>
    <t>043:07:01.98 N</t>
  </si>
  <si>
    <t>077:34:45.76 W</t>
  </si>
  <si>
    <t>043:07:02.99 N</t>
  </si>
  <si>
    <t>077:34:48.31 W</t>
  </si>
  <si>
    <t>043:07:03.99 N</t>
  </si>
  <si>
    <t>077:34:50.62 W</t>
  </si>
  <si>
    <t>043:07:04.77 N</t>
  </si>
  <si>
    <t>077:34:53.02 W</t>
  </si>
  <si>
    <t>043:07:05.62 N</t>
  </si>
  <si>
    <t>077:34:55.41 W</t>
  </si>
  <si>
    <t>043:07:06.47 N</t>
  </si>
  <si>
    <t>077:34:57.73 W</t>
  </si>
  <si>
    <t>043:07:07.24 N</t>
  </si>
  <si>
    <t>077:35:00.28 W</t>
  </si>
  <si>
    <t>043:07:08.09 N</t>
  </si>
  <si>
    <t>077:35:03.14 W</t>
  </si>
  <si>
    <t>043:07:08.94 N</t>
  </si>
  <si>
    <t>077:35:05.76 W</t>
  </si>
  <si>
    <t>043:07:09.79 N</t>
  </si>
  <si>
    <t>077:35:08.31 W</t>
  </si>
  <si>
    <t>043:07:10.48 N</t>
  </si>
  <si>
    <t>077:35:10.94 W</t>
  </si>
  <si>
    <t>043:07:11.49 N</t>
  </si>
  <si>
    <t>077:35:13.95 W</t>
  </si>
  <si>
    <t>043:07:12.34 N</t>
  </si>
  <si>
    <t>077:35:16.81 W</t>
  </si>
  <si>
    <t>043:07:13.19 N</t>
  </si>
  <si>
    <t>077:35:19.36 W</t>
  </si>
  <si>
    <t>043:07:13.88 N</t>
  </si>
  <si>
    <t>077:35:21.91 W</t>
  </si>
  <si>
    <t>043:07:14.81 N</t>
  </si>
  <si>
    <t>077:35:24.53 W</t>
  </si>
  <si>
    <t>043:07:15.66 N</t>
  </si>
  <si>
    <t>043:07:16.35 N</t>
  </si>
  <si>
    <t>077:35:29.48 W</t>
  </si>
  <si>
    <t>043:07:16.97 N</t>
  </si>
  <si>
    <t>077:35:31.87 W</t>
  </si>
  <si>
    <t>043:07:17.82 N</t>
  </si>
  <si>
    <t>077:35:34.50 W</t>
  </si>
  <si>
    <t>043:07:18.59 N</t>
  </si>
  <si>
    <t>077:35:37.28 W</t>
  </si>
  <si>
    <t>043:07:19.13 N</t>
  </si>
  <si>
    <t>077:35:39.37 W</t>
  </si>
  <si>
    <t>043:07:19.98 N</t>
  </si>
  <si>
    <t>077:35:42.30 W</t>
  </si>
  <si>
    <t>043:07:20.52 N</t>
  </si>
  <si>
    <t>077:35:44.54 W</t>
  </si>
  <si>
    <t>043:07:21.14 N</t>
  </si>
  <si>
    <t>077:35:47.17 W</t>
  </si>
  <si>
    <t>043:07:21.68 N</t>
  </si>
  <si>
    <t>077:35:49.79 W</t>
  </si>
  <si>
    <t>043:07:22.22 N</t>
  </si>
  <si>
    <t>077:35:52.65 W</t>
  </si>
  <si>
    <t>043:07:22.76 N</t>
  </si>
  <si>
    <t>077:35:54.74 W</t>
  </si>
  <si>
    <t>043:07:23.23 N</t>
  </si>
  <si>
    <t>077:35:57.75 W</t>
  </si>
  <si>
    <t>043:07:23.77 N</t>
  </si>
  <si>
    <t>077:36:00.30 W</t>
  </si>
  <si>
    <t>043:07:24.39 N</t>
  </si>
  <si>
    <t>077:36:03.16 W</t>
  </si>
  <si>
    <t>043:07:24.70 N</t>
  </si>
  <si>
    <t>077:36:05.55 W</t>
  </si>
  <si>
    <t>043:07:25.24 N</t>
  </si>
  <si>
    <t>077:36:08.33 W</t>
  </si>
  <si>
    <t>043:07:25.55 N</t>
  </si>
  <si>
    <t>077:36:10.88 W</t>
  </si>
  <si>
    <t>043:07:25.85 N</t>
  </si>
  <si>
    <t>077:36:13.74 W</t>
  </si>
  <si>
    <t>043:07:26.16 N</t>
  </si>
  <si>
    <t>077:36:16.14 W</t>
  </si>
  <si>
    <t>043:07:26.55 N</t>
  </si>
  <si>
    <t>077:36:19.15 W</t>
  </si>
  <si>
    <t>043:07:26.86 N</t>
  </si>
  <si>
    <t>077:36:21.47 W</t>
  </si>
  <si>
    <t>043:07:27.17 N</t>
  </si>
  <si>
    <t>077:36:24.40 W</t>
  </si>
  <si>
    <t>043:07:27.40 N</t>
  </si>
  <si>
    <t>077:36:26.72 W</t>
  </si>
  <si>
    <t>043:07:27.71 N</t>
  </si>
  <si>
    <t>077:36:29.04 W</t>
  </si>
  <si>
    <t>043:07:27.86 N</t>
  </si>
  <si>
    <t>077:36:31.43 W</t>
  </si>
  <si>
    <t>043:07:28.02 N</t>
  </si>
  <si>
    <t>077:36:33.75 W</t>
  </si>
  <si>
    <t>077:36:36.14 W</t>
  </si>
  <si>
    <t>043:07:28.25 N</t>
  </si>
  <si>
    <t>077:36:38.46 W</t>
  </si>
  <si>
    <t>043:07:28.17 N</t>
  </si>
  <si>
    <t>043:07:28.40 N</t>
  </si>
  <si>
    <t>077:36:41.09 W</t>
  </si>
  <si>
    <t>043:07:28.33 N</t>
  </si>
  <si>
    <t>077:36:43.25 W</t>
  </si>
  <si>
    <t>043:07:28.48 N</t>
  </si>
  <si>
    <t>077:36:48.12 W</t>
  </si>
  <si>
    <t>077:36:51.13 W</t>
  </si>
  <si>
    <t>077:36:53.60 W</t>
  </si>
  <si>
    <t>077:36:56.15 W</t>
  </si>
  <si>
    <t>077:36:58.93 W</t>
  </si>
  <si>
    <t>077:37:01.40 W</t>
  </si>
  <si>
    <t>077:37:03.95 W</t>
  </si>
  <si>
    <t>077:37:06.50 W</t>
  </si>
  <si>
    <t>077:37:08.82 W</t>
  </si>
  <si>
    <t>077:37:11.75 W</t>
  </si>
  <si>
    <t>077:37:14.07 W</t>
  </si>
  <si>
    <t>077:37:16.39 W</t>
  </si>
  <si>
    <t>077:37:19.25 W</t>
  </si>
  <si>
    <t>077:37:21.80 W</t>
  </si>
  <si>
    <t>077:37:23.96 W</t>
  </si>
  <si>
    <t>077:37:26.28 W</t>
  </si>
  <si>
    <t>077:37:29.06 W</t>
  </si>
  <si>
    <t>043:07:27.55 N</t>
  </si>
  <si>
    <t>077:37:31.45 W</t>
  </si>
  <si>
    <t>077:37:34.08 W</t>
  </si>
  <si>
    <t>077:37:37.09 W</t>
  </si>
  <si>
    <t>077:37:42.50 W</t>
  </si>
  <si>
    <t>043:07:27.24 N</t>
  </si>
  <si>
    <t>077:37:45.13 W</t>
  </si>
  <si>
    <t>077:37:47.91 W</t>
  </si>
  <si>
    <t>043:07:27.01 N</t>
  </si>
  <si>
    <t>077:37:50.30 W</t>
  </si>
  <si>
    <t>077:37:53.16 W</t>
  </si>
  <si>
    <t>077:37:55.71 W</t>
  </si>
  <si>
    <t>077:37:58.03 W</t>
  </si>
  <si>
    <t>077:38:00.19 W</t>
  </si>
  <si>
    <t>043:07:26.70 N</t>
  </si>
  <si>
    <t>077:38:02.74 W</t>
  </si>
  <si>
    <t>077:38:05.36 W</t>
  </si>
  <si>
    <t>077:38:08.45 W</t>
  </si>
  <si>
    <t>077:38:11.00 W</t>
  </si>
  <si>
    <t>043:07:26.40 N</t>
  </si>
  <si>
    <t>077:38:13.40 W</t>
  </si>
  <si>
    <t>077:38:16.18 W</t>
  </si>
  <si>
    <t>077:38:18.81 W</t>
  </si>
  <si>
    <t>077:38:21.35 W</t>
  </si>
  <si>
    <t>043:07:26.01 N</t>
  </si>
  <si>
    <t>077:38:23.75 W</t>
  </si>
  <si>
    <t>077:38:26.53 W</t>
  </si>
  <si>
    <t>077:38:29.16 W</t>
  </si>
  <si>
    <t>077:38:31.55 W</t>
  </si>
  <si>
    <t>077:38:34.80 W</t>
  </si>
  <si>
    <t>043:07:25.70 N</t>
  </si>
  <si>
    <t>077:38:37.81 W</t>
  </si>
  <si>
    <t>077:38:39.97 W</t>
  </si>
  <si>
    <t>077:38:42.52 W</t>
  </si>
  <si>
    <t>077:38:45.38 W</t>
  </si>
  <si>
    <t>043:07:25.39 N</t>
  </si>
  <si>
    <t>077:38:47.77 W</t>
  </si>
  <si>
    <t>077:38:50.32 W</t>
  </si>
  <si>
    <t>x^2</t>
  </si>
  <si>
    <t>y^2</t>
  </si>
  <si>
    <t>sqrt(sum)</t>
  </si>
  <si>
    <t>GS Knots</t>
  </si>
  <si>
    <t>Time (fmt change)</t>
  </si>
  <si>
    <t xml:space="preserve">Tim (excel day) </t>
  </si>
  <si>
    <t>sec</t>
  </si>
  <si>
    <t xml:space="preserve">elapsed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</si>
</sst>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:ss.0"/>
    <numFmt numFmtId="165" formatCode="0.0000000"/>
    <numFmt numFmtId="166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Groundspeed Knots</a:t>
            </a:r>
            <a:r>
              <a:rPr lang="en-US" baseline="0"/>
              <a:t> (calculated)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'20230211_A7C771_507513747_ADSB_'!$BB$1</c:f>
              <c:strCache>
                <c:ptCount val="1"/>
                <c:pt idx="0">
                  <c:v>sqrt(sum)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'20230211_A7C771_507513747_ADSB_'!$C$3:$C$573</c:f>
              <c:numCache>
                <c:formatCode>0.0</c:formatCode>
                <c:ptCount val="571"/>
                <c:pt idx="0">
                  <c:v>4.0000000008149073E-3</c:v>
                </c:pt>
                <c:pt idx="1">
                  <c:v>1.1610000000000582</c:v>
                </c:pt>
                <c:pt idx="2">
                  <c:v>1.9320000000006985</c:v>
                </c:pt>
                <c:pt idx="3">
                  <c:v>3.2620000000024447</c:v>
                </c:pt>
                <c:pt idx="4">
                  <c:v>4.3949999999967986</c:v>
                </c:pt>
                <c:pt idx="5">
                  <c:v>5.4320000000006985</c:v>
                </c:pt>
                <c:pt idx="6">
                  <c:v>6.294000000001688</c:v>
                </c:pt>
                <c:pt idx="7">
                  <c:v>7.3409999999930733</c:v>
                </c:pt>
                <c:pt idx="8">
                  <c:v>8.3859999999913271</c:v>
                </c:pt>
                <c:pt idx="9">
                  <c:v>9.4100000000034925</c:v>
                </c:pt>
                <c:pt idx="10">
                  <c:v>11.659999999996217</c:v>
                </c:pt>
                <c:pt idx="11">
                  <c:v>12.551000000006752</c:v>
                </c:pt>
                <c:pt idx="12">
                  <c:v>13.661999999996624</c:v>
                </c:pt>
                <c:pt idx="13">
                  <c:v>14.597000000001572</c:v>
                </c:pt>
                <c:pt idx="14">
                  <c:v>15.440999999998894</c:v>
                </c:pt>
                <c:pt idx="15">
                  <c:v>16.504000000000815</c:v>
                </c:pt>
                <c:pt idx="16">
                  <c:v>17.489000000001397</c:v>
                </c:pt>
                <c:pt idx="17">
                  <c:v>18.381000000001222</c:v>
                </c:pt>
                <c:pt idx="18">
                  <c:v>19.317000000010012</c:v>
                </c:pt>
                <c:pt idx="19">
                  <c:v>20.394999999989523</c:v>
                </c:pt>
                <c:pt idx="20">
                  <c:v>21.364000000008673</c:v>
                </c:pt>
                <c:pt idx="21">
                  <c:v>22.582999999998719</c:v>
                </c:pt>
                <c:pt idx="22">
                  <c:v>23.567999999992026</c:v>
                </c:pt>
                <c:pt idx="23">
                  <c:v>24.597999999998137</c:v>
                </c:pt>
                <c:pt idx="24">
                  <c:v>25.472999999998137</c:v>
                </c:pt>
                <c:pt idx="25">
                  <c:v>26.425999999999476</c:v>
                </c:pt>
                <c:pt idx="26">
                  <c:v>27.550999999999476</c:v>
                </c:pt>
                <c:pt idx="27">
                  <c:v>28.521000000007916</c:v>
                </c:pt>
                <c:pt idx="28">
                  <c:v>29.690999999998894</c:v>
                </c:pt>
                <c:pt idx="29">
                  <c:v>30.737999999997555</c:v>
                </c:pt>
                <c:pt idx="30">
                  <c:v>31.754000000000815</c:v>
                </c:pt>
                <c:pt idx="31">
                  <c:v>32.737999999997555</c:v>
                </c:pt>
                <c:pt idx="32">
                  <c:v>33.552000000003318</c:v>
                </c:pt>
                <c:pt idx="33">
                  <c:v>34.675999999999476</c:v>
                </c:pt>
                <c:pt idx="34">
                  <c:v>35.754000000000815</c:v>
                </c:pt>
                <c:pt idx="35">
                  <c:v>36.722999999990861</c:v>
                </c:pt>
                <c:pt idx="36">
                  <c:v>37.552000000003318</c:v>
                </c:pt>
                <c:pt idx="37">
                  <c:v>38.55300000000716</c:v>
                </c:pt>
                <c:pt idx="38">
                  <c:v>52.067999999992026</c:v>
                </c:pt>
                <c:pt idx="39">
                  <c:v>53.273000000001048</c:v>
                </c:pt>
                <c:pt idx="40">
                  <c:v>54.364000000001397</c:v>
                </c:pt>
                <c:pt idx="41">
                  <c:v>55.301000000006752</c:v>
                </c:pt>
                <c:pt idx="42">
                  <c:v>56.129000000000815</c:v>
                </c:pt>
                <c:pt idx="43">
                  <c:v>57.097999999998137</c:v>
                </c:pt>
                <c:pt idx="44">
                  <c:v>58.192999999999302</c:v>
                </c:pt>
                <c:pt idx="45">
                  <c:v>59.253999999993539</c:v>
                </c:pt>
                <c:pt idx="46">
                  <c:v>60.222999999998137</c:v>
                </c:pt>
                <c:pt idx="47">
                  <c:v>61.370000000002619</c:v>
                </c:pt>
                <c:pt idx="48">
                  <c:v>62.275999999998021</c:v>
                </c:pt>
                <c:pt idx="49">
                  <c:v>63.292999999997846</c:v>
                </c:pt>
                <c:pt idx="50">
                  <c:v>64.442000000010012</c:v>
                </c:pt>
                <c:pt idx="51">
                  <c:v>65.296000000002095</c:v>
                </c:pt>
                <c:pt idx="52">
                  <c:v>66.39600000000064</c:v>
                </c:pt>
                <c:pt idx="53">
                  <c:v>67.099000000001979</c:v>
                </c:pt>
                <c:pt idx="54">
                  <c:v>68.184000000001106</c:v>
                </c:pt>
                <c:pt idx="55">
                  <c:v>69.190999999998894</c:v>
                </c:pt>
                <c:pt idx="56">
                  <c:v>70.050999999999476</c:v>
                </c:pt>
                <c:pt idx="57">
                  <c:v>71.050999999999476</c:v>
                </c:pt>
                <c:pt idx="58">
                  <c:v>72.067000000002736</c:v>
                </c:pt>
                <c:pt idx="59">
                  <c:v>73.131000000001222</c:v>
                </c:pt>
                <c:pt idx="60">
                  <c:v>73.973999999994703</c:v>
                </c:pt>
                <c:pt idx="61">
                  <c:v>74.957999999991443</c:v>
                </c:pt>
                <c:pt idx="62">
                  <c:v>75.911000000000058</c:v>
                </c:pt>
                <c:pt idx="63">
                  <c:v>76.957999999998719</c:v>
                </c:pt>
                <c:pt idx="64">
                  <c:v>78.177999999999884</c:v>
                </c:pt>
                <c:pt idx="65">
                  <c:v>79.019999999996799</c:v>
                </c:pt>
                <c:pt idx="66">
                  <c:v>80.692000000002736</c:v>
                </c:pt>
                <c:pt idx="67">
                  <c:v>81.817000000002736</c:v>
                </c:pt>
                <c:pt idx="68">
                  <c:v>82.707999999991443</c:v>
                </c:pt>
                <c:pt idx="69">
                  <c:v>83.692999999999302</c:v>
                </c:pt>
                <c:pt idx="70">
                  <c:v>84.693000000006577</c:v>
                </c:pt>
                <c:pt idx="71">
                  <c:v>85.661999999996624</c:v>
                </c:pt>
                <c:pt idx="72">
                  <c:v>86.599000000001979</c:v>
                </c:pt>
                <c:pt idx="73">
                  <c:v>87.52100000000064</c:v>
                </c:pt>
                <c:pt idx="74">
                  <c:v>88.463999999999942</c:v>
                </c:pt>
                <c:pt idx="75">
                  <c:v>89.677000000010594</c:v>
                </c:pt>
                <c:pt idx="76">
                  <c:v>90.442000000002736</c:v>
                </c:pt>
                <c:pt idx="77">
                  <c:v>91.536000000000058</c:v>
                </c:pt>
                <c:pt idx="78">
                  <c:v>92.411000000007334</c:v>
                </c:pt>
                <c:pt idx="79">
                  <c:v>93.427999999999884</c:v>
                </c:pt>
                <c:pt idx="80">
                  <c:v>94.394999999996799</c:v>
                </c:pt>
                <c:pt idx="81">
                  <c:v>95.552000000003318</c:v>
                </c:pt>
                <c:pt idx="82">
                  <c:v>96.395000000004075</c:v>
                </c:pt>
                <c:pt idx="83">
                  <c:v>97.520000000004075</c:v>
                </c:pt>
                <c:pt idx="84">
                  <c:v>98.474999999998545</c:v>
                </c:pt>
                <c:pt idx="85">
                  <c:v>99.472999999998137</c:v>
                </c:pt>
                <c:pt idx="86">
                  <c:v>100.50400000000081</c:v>
                </c:pt>
                <c:pt idx="87">
                  <c:v>101.4890000000014</c:v>
                </c:pt>
                <c:pt idx="88">
                  <c:v>102.53600000000733</c:v>
                </c:pt>
                <c:pt idx="89">
                  <c:v>103.47400000000198</c:v>
                </c:pt>
                <c:pt idx="90">
                  <c:v>104.3640000000014</c:v>
                </c:pt>
                <c:pt idx="91">
                  <c:v>105.27100000000064</c:v>
                </c:pt>
                <c:pt idx="92">
                  <c:v>106.19400000000314</c:v>
                </c:pt>
                <c:pt idx="93">
                  <c:v>107.45900000000984</c:v>
                </c:pt>
                <c:pt idx="94">
                  <c:v>109.1449999999968</c:v>
                </c:pt>
                <c:pt idx="95">
                  <c:v>110.22299999999814</c:v>
                </c:pt>
                <c:pt idx="96">
                  <c:v>111.19200000000274</c:v>
                </c:pt>
                <c:pt idx="97">
                  <c:v>112.25499999999738</c:v>
                </c:pt>
                <c:pt idx="98">
                  <c:v>113.30299999999988</c:v>
                </c:pt>
                <c:pt idx="99">
                  <c:v>114.43600000000151</c:v>
                </c:pt>
                <c:pt idx="100">
                  <c:v>115.42700000000332</c:v>
                </c:pt>
                <c:pt idx="101">
                  <c:v>116.41199999999662</c:v>
                </c:pt>
                <c:pt idx="102">
                  <c:v>117.44299999999203</c:v>
                </c:pt>
                <c:pt idx="103">
                  <c:v>118.4910000000018</c:v>
                </c:pt>
                <c:pt idx="104">
                  <c:v>119.41100000000006</c:v>
                </c:pt>
                <c:pt idx="105">
                  <c:v>120.3640000000014</c:v>
                </c:pt>
                <c:pt idx="106">
                  <c:v>121.28399999999965</c:v>
                </c:pt>
                <c:pt idx="107">
                  <c:v>122.34199999999691</c:v>
                </c:pt>
                <c:pt idx="108">
                  <c:v>123.40600000000268</c:v>
                </c:pt>
                <c:pt idx="109">
                  <c:v>124.55200000000332</c:v>
                </c:pt>
                <c:pt idx="110">
                  <c:v>125.32299999999668</c:v>
                </c:pt>
                <c:pt idx="111">
                  <c:v>126.41199999999662</c:v>
                </c:pt>
                <c:pt idx="112">
                  <c:v>127.4910000000018</c:v>
                </c:pt>
                <c:pt idx="113">
                  <c:v>128.58900000000722</c:v>
                </c:pt>
                <c:pt idx="114">
                  <c:v>129.59799999999814</c:v>
                </c:pt>
                <c:pt idx="115">
                  <c:v>130.59799999999086</c:v>
                </c:pt>
                <c:pt idx="116">
                  <c:v>131.78600000000006</c:v>
                </c:pt>
                <c:pt idx="117">
                  <c:v>132.61399999999412</c:v>
                </c:pt>
                <c:pt idx="118">
                  <c:v>133.53699999999662</c:v>
                </c:pt>
                <c:pt idx="119">
                  <c:v>134.64600000000064</c:v>
                </c:pt>
                <c:pt idx="120">
                  <c:v>135.61499999999796</c:v>
                </c:pt>
                <c:pt idx="121">
                  <c:v>136.55299999999988</c:v>
                </c:pt>
                <c:pt idx="122">
                  <c:v>137.52199999999721</c:v>
                </c:pt>
                <c:pt idx="123">
                  <c:v>138.41399999999703</c:v>
                </c:pt>
                <c:pt idx="124">
                  <c:v>139.53600000000006</c:v>
                </c:pt>
                <c:pt idx="125">
                  <c:v>140.50499999999738</c:v>
                </c:pt>
                <c:pt idx="126">
                  <c:v>141.59900000000198</c:v>
                </c:pt>
                <c:pt idx="127">
                  <c:v>142.66100000000006</c:v>
                </c:pt>
                <c:pt idx="128">
                  <c:v>143.5370000000039</c:v>
                </c:pt>
                <c:pt idx="129">
                  <c:v>144.62999999999738</c:v>
                </c:pt>
                <c:pt idx="130">
                  <c:v>145.48999999999796</c:v>
                </c:pt>
                <c:pt idx="131">
                  <c:v>146.56799999999203</c:v>
                </c:pt>
                <c:pt idx="132">
                  <c:v>147.64600000000064</c:v>
                </c:pt>
                <c:pt idx="133">
                  <c:v>148.64699999999721</c:v>
                </c:pt>
                <c:pt idx="134">
                  <c:v>149.77099999999336</c:v>
                </c:pt>
                <c:pt idx="135">
                  <c:v>150.64600000000064</c:v>
                </c:pt>
                <c:pt idx="136">
                  <c:v>151.80200000000332</c:v>
                </c:pt>
                <c:pt idx="137">
                  <c:v>152.74000000000524</c:v>
                </c:pt>
                <c:pt idx="138">
                  <c:v>153.67799999999988</c:v>
                </c:pt>
                <c:pt idx="139">
                  <c:v>154.91099999999278</c:v>
                </c:pt>
                <c:pt idx="140">
                  <c:v>156.02100000000064</c:v>
                </c:pt>
                <c:pt idx="141">
                  <c:v>156.9890000000014</c:v>
                </c:pt>
                <c:pt idx="142">
                  <c:v>157.92700000000332</c:v>
                </c:pt>
                <c:pt idx="143">
                  <c:v>159.17700000001059</c:v>
                </c:pt>
                <c:pt idx="144">
                  <c:v>160.27100000000064</c:v>
                </c:pt>
                <c:pt idx="145">
                  <c:v>161.09900000000198</c:v>
                </c:pt>
                <c:pt idx="146">
                  <c:v>162.05299999999988</c:v>
                </c:pt>
                <c:pt idx="147">
                  <c:v>163.25699999999779</c:v>
                </c:pt>
                <c:pt idx="148">
                  <c:v>164.03600000000006</c:v>
                </c:pt>
                <c:pt idx="149">
                  <c:v>165.14600000000792</c:v>
                </c:pt>
                <c:pt idx="150">
                  <c:v>166.20900000000256</c:v>
                </c:pt>
                <c:pt idx="151">
                  <c:v>167.30200000000332</c:v>
                </c:pt>
                <c:pt idx="152">
                  <c:v>168.28800000000047</c:v>
                </c:pt>
                <c:pt idx="153">
                  <c:v>169.42700000000332</c:v>
                </c:pt>
                <c:pt idx="154">
                  <c:v>170.4429999999993</c:v>
                </c:pt>
                <c:pt idx="155">
                  <c:v>183.33999999998923</c:v>
                </c:pt>
                <c:pt idx="156">
                  <c:v>184.37999999999738</c:v>
                </c:pt>
                <c:pt idx="157">
                  <c:v>185.57400000000052</c:v>
                </c:pt>
                <c:pt idx="158">
                  <c:v>186.49300000000221</c:v>
                </c:pt>
                <c:pt idx="159">
                  <c:v>187.46400000000722</c:v>
                </c:pt>
                <c:pt idx="160">
                  <c:v>188.48099999999977</c:v>
                </c:pt>
                <c:pt idx="161">
                  <c:v>189.64500000000407</c:v>
                </c:pt>
                <c:pt idx="162">
                  <c:v>190.83299999999144</c:v>
                </c:pt>
                <c:pt idx="163">
                  <c:v>191.7390000000014</c:v>
                </c:pt>
                <c:pt idx="164">
                  <c:v>192.88000000000466</c:v>
                </c:pt>
                <c:pt idx="165">
                  <c:v>193.80299999999988</c:v>
                </c:pt>
                <c:pt idx="166">
                  <c:v>194.67599999999948</c:v>
                </c:pt>
                <c:pt idx="167">
                  <c:v>195.70799999999872</c:v>
                </c:pt>
                <c:pt idx="168">
                  <c:v>196.91100000000006</c:v>
                </c:pt>
                <c:pt idx="169">
                  <c:v>197.66099999999278</c:v>
                </c:pt>
                <c:pt idx="170">
                  <c:v>198.59999999999854</c:v>
                </c:pt>
                <c:pt idx="171">
                  <c:v>199.61499999999796</c:v>
                </c:pt>
                <c:pt idx="172">
                  <c:v>200.58299999999872</c:v>
                </c:pt>
                <c:pt idx="173">
                  <c:v>201.59900000000198</c:v>
                </c:pt>
                <c:pt idx="174">
                  <c:v>202.72400000000198</c:v>
                </c:pt>
                <c:pt idx="175">
                  <c:v>203.7100000000064</c:v>
                </c:pt>
                <c:pt idx="176">
                  <c:v>204.83400000000256</c:v>
                </c:pt>
                <c:pt idx="177">
                  <c:v>205.86499999999796</c:v>
                </c:pt>
                <c:pt idx="178">
                  <c:v>206.83400000000256</c:v>
                </c:pt>
                <c:pt idx="179">
                  <c:v>207.84999999999854</c:v>
                </c:pt>
                <c:pt idx="180">
                  <c:v>210.0060000000085</c:v>
                </c:pt>
                <c:pt idx="181">
                  <c:v>210.83400000000984</c:v>
                </c:pt>
                <c:pt idx="182">
                  <c:v>212.00600000000122</c:v>
                </c:pt>
                <c:pt idx="183">
                  <c:v>212.86499999999796</c:v>
                </c:pt>
                <c:pt idx="184">
                  <c:v>213.80399999999645</c:v>
                </c:pt>
                <c:pt idx="185">
                  <c:v>214.67700000000332</c:v>
                </c:pt>
                <c:pt idx="186">
                  <c:v>215.5049999999901</c:v>
                </c:pt>
                <c:pt idx="187">
                  <c:v>217.61499999999796</c:v>
                </c:pt>
                <c:pt idx="188">
                  <c:v>218.7410000000018</c:v>
                </c:pt>
                <c:pt idx="189">
                  <c:v>219.78600000000006</c:v>
                </c:pt>
                <c:pt idx="190">
                  <c:v>220.91100000000006</c:v>
                </c:pt>
                <c:pt idx="191">
                  <c:v>221.9890000000014</c:v>
                </c:pt>
                <c:pt idx="192">
                  <c:v>223.09900000000926</c:v>
                </c:pt>
                <c:pt idx="193">
                  <c:v>224.20900000000256</c:v>
                </c:pt>
                <c:pt idx="194">
                  <c:v>225.17800000000716</c:v>
                </c:pt>
                <c:pt idx="195">
                  <c:v>226.33399999999529</c:v>
                </c:pt>
                <c:pt idx="196">
                  <c:v>227.31799999999203</c:v>
                </c:pt>
                <c:pt idx="197">
                  <c:v>228.41299999999319</c:v>
                </c:pt>
                <c:pt idx="198">
                  <c:v>229.30200000001059</c:v>
                </c:pt>
                <c:pt idx="199">
                  <c:v>230.14600000000064</c:v>
                </c:pt>
                <c:pt idx="200">
                  <c:v>231.25499999999738</c:v>
                </c:pt>
                <c:pt idx="201">
                  <c:v>232.28699999999662</c:v>
                </c:pt>
                <c:pt idx="202">
                  <c:v>233.2239999999947</c:v>
                </c:pt>
                <c:pt idx="203">
                  <c:v>234.20799999999144</c:v>
                </c:pt>
                <c:pt idx="204">
                  <c:v>235.20900000000984</c:v>
                </c:pt>
                <c:pt idx="205">
                  <c:v>236.31900000000314</c:v>
                </c:pt>
                <c:pt idx="206">
                  <c:v>237.42799999999988</c:v>
                </c:pt>
                <c:pt idx="207">
                  <c:v>238.27200000000448</c:v>
                </c:pt>
                <c:pt idx="208">
                  <c:v>239.03699999999662</c:v>
                </c:pt>
                <c:pt idx="209">
                  <c:v>240.0679999999993</c:v>
                </c:pt>
                <c:pt idx="210">
                  <c:v>241.03699999998935</c:v>
                </c:pt>
                <c:pt idx="211">
                  <c:v>241.93299999999726</c:v>
                </c:pt>
                <c:pt idx="212">
                  <c:v>242.96499999999651</c:v>
                </c:pt>
                <c:pt idx="213">
                  <c:v>244.17700000001059</c:v>
                </c:pt>
                <c:pt idx="214">
                  <c:v>246.49399999999878</c:v>
                </c:pt>
                <c:pt idx="215">
                  <c:v>247.30599999999686</c:v>
                </c:pt>
                <c:pt idx="216">
                  <c:v>248.45100000000093</c:v>
                </c:pt>
                <c:pt idx="217">
                  <c:v>249.33400000000256</c:v>
                </c:pt>
                <c:pt idx="218">
                  <c:v>250.16199999999662</c:v>
                </c:pt>
                <c:pt idx="219">
                  <c:v>251.3179999999993</c:v>
                </c:pt>
                <c:pt idx="220">
                  <c:v>252.34999999999854</c:v>
                </c:pt>
                <c:pt idx="221">
                  <c:v>253.44400000000314</c:v>
                </c:pt>
                <c:pt idx="222">
                  <c:v>254.28600000000006</c:v>
                </c:pt>
                <c:pt idx="223">
                  <c:v>255.4429999999993</c:v>
                </c:pt>
                <c:pt idx="224">
                  <c:v>256.33400000000256</c:v>
                </c:pt>
                <c:pt idx="225">
                  <c:v>257.28699999999662</c:v>
                </c:pt>
                <c:pt idx="226">
                  <c:v>258.28699999998935</c:v>
                </c:pt>
                <c:pt idx="227">
                  <c:v>259.34900000000926</c:v>
                </c:pt>
                <c:pt idx="228">
                  <c:v>260.39600000000064</c:v>
                </c:pt>
                <c:pt idx="229">
                  <c:v>261.52099999999336</c:v>
                </c:pt>
                <c:pt idx="230">
                  <c:v>262.42700000000332</c:v>
                </c:pt>
                <c:pt idx="231">
                  <c:v>263.27099999999336</c:v>
                </c:pt>
                <c:pt idx="232">
                  <c:v>264.48999999999069</c:v>
                </c:pt>
                <c:pt idx="233">
                  <c:v>266.42799999999988</c:v>
                </c:pt>
                <c:pt idx="234">
                  <c:v>267.28699999999662</c:v>
                </c:pt>
                <c:pt idx="235">
                  <c:v>268.36499999999796</c:v>
                </c:pt>
                <c:pt idx="236">
                  <c:v>269.33299999999872</c:v>
                </c:pt>
                <c:pt idx="237">
                  <c:v>270.39599999999336</c:v>
                </c:pt>
                <c:pt idx="238">
                  <c:v>271.4429999999993</c:v>
                </c:pt>
                <c:pt idx="239">
                  <c:v>272.3179999999993</c:v>
                </c:pt>
                <c:pt idx="240">
                  <c:v>273.41199999999662</c:v>
                </c:pt>
                <c:pt idx="241">
                  <c:v>274.42700000001059</c:v>
                </c:pt>
                <c:pt idx="242">
                  <c:v>275.34900000000926</c:v>
                </c:pt>
                <c:pt idx="243">
                  <c:v>276.14600000000064</c:v>
                </c:pt>
                <c:pt idx="244">
                  <c:v>277.19300000000658</c:v>
                </c:pt>
                <c:pt idx="245">
                  <c:v>278.0679999999993</c:v>
                </c:pt>
                <c:pt idx="246">
                  <c:v>278.94300000000658</c:v>
                </c:pt>
                <c:pt idx="247">
                  <c:v>279.86500000000524</c:v>
                </c:pt>
                <c:pt idx="248">
                  <c:v>280.7870000000039</c:v>
                </c:pt>
                <c:pt idx="249">
                  <c:v>281.6929999999993</c:v>
                </c:pt>
                <c:pt idx="250">
                  <c:v>282.61499999999796</c:v>
                </c:pt>
                <c:pt idx="251">
                  <c:v>283.55399999999645</c:v>
                </c:pt>
                <c:pt idx="252">
                  <c:v>284.58299999999872</c:v>
                </c:pt>
                <c:pt idx="253">
                  <c:v>285.67700000000332</c:v>
                </c:pt>
                <c:pt idx="254">
                  <c:v>286.56900000001042</c:v>
                </c:pt>
                <c:pt idx="255">
                  <c:v>287.7410000000018</c:v>
                </c:pt>
                <c:pt idx="256">
                  <c:v>288.74199999999109</c:v>
                </c:pt>
                <c:pt idx="257">
                  <c:v>289.62999999999738</c:v>
                </c:pt>
                <c:pt idx="258">
                  <c:v>290.62999999999738</c:v>
                </c:pt>
                <c:pt idx="259">
                  <c:v>291.66199999999662</c:v>
                </c:pt>
                <c:pt idx="260">
                  <c:v>292.52100000000064</c:v>
                </c:pt>
                <c:pt idx="261">
                  <c:v>293.47499999999854</c:v>
                </c:pt>
                <c:pt idx="262">
                  <c:v>294.47699999999895</c:v>
                </c:pt>
                <c:pt idx="263">
                  <c:v>295.67799999999988</c:v>
                </c:pt>
                <c:pt idx="264">
                  <c:v>296.77199999999721</c:v>
                </c:pt>
                <c:pt idx="265">
                  <c:v>297.75600000000122</c:v>
                </c:pt>
                <c:pt idx="266">
                  <c:v>298.80400000000373</c:v>
                </c:pt>
                <c:pt idx="267">
                  <c:v>299.81799999999203</c:v>
                </c:pt>
                <c:pt idx="268">
                  <c:v>300.7960000000021</c:v>
                </c:pt>
                <c:pt idx="269">
                  <c:v>301.69999999999709</c:v>
                </c:pt>
                <c:pt idx="270">
                  <c:v>302.73099999999977</c:v>
                </c:pt>
                <c:pt idx="271">
                  <c:v>303.66999999999825</c:v>
                </c:pt>
                <c:pt idx="272">
                  <c:v>304.80199999999604</c:v>
                </c:pt>
                <c:pt idx="273">
                  <c:v>305.63700000000244</c:v>
                </c:pt>
                <c:pt idx="274">
                  <c:v>306.70500000000175</c:v>
                </c:pt>
                <c:pt idx="275">
                  <c:v>307.83999999999651</c:v>
                </c:pt>
                <c:pt idx="276">
                  <c:v>308.90600000000995</c:v>
                </c:pt>
                <c:pt idx="277">
                  <c:v>309.80299999999988</c:v>
                </c:pt>
                <c:pt idx="278">
                  <c:v>310.9910000000018</c:v>
                </c:pt>
                <c:pt idx="279">
                  <c:v>311.81900000000314</c:v>
                </c:pt>
                <c:pt idx="280">
                  <c:v>312.8660000000018</c:v>
                </c:pt>
                <c:pt idx="281">
                  <c:v>326.59999999999854</c:v>
                </c:pt>
                <c:pt idx="282">
                  <c:v>327.4910000000018</c:v>
                </c:pt>
                <c:pt idx="283">
                  <c:v>328.42799999999988</c:v>
                </c:pt>
                <c:pt idx="284">
                  <c:v>329.42799999999988</c:v>
                </c:pt>
                <c:pt idx="285">
                  <c:v>330.53699999999662</c:v>
                </c:pt>
                <c:pt idx="286">
                  <c:v>331.45900000000984</c:v>
                </c:pt>
                <c:pt idx="287">
                  <c:v>332.52199999999721</c:v>
                </c:pt>
                <c:pt idx="288">
                  <c:v>333.60100000000239</c:v>
                </c:pt>
                <c:pt idx="289">
                  <c:v>334.66199999999662</c:v>
                </c:pt>
                <c:pt idx="290">
                  <c:v>335.42799999999988</c:v>
                </c:pt>
                <c:pt idx="291">
                  <c:v>336.38100000000122</c:v>
                </c:pt>
                <c:pt idx="292">
                  <c:v>337.27100000000064</c:v>
                </c:pt>
                <c:pt idx="293">
                  <c:v>338.23999999999796</c:v>
                </c:pt>
                <c:pt idx="294">
                  <c:v>339.30299999999261</c:v>
                </c:pt>
                <c:pt idx="295">
                  <c:v>340.20900000000256</c:v>
                </c:pt>
                <c:pt idx="296">
                  <c:v>341.27199999999721</c:v>
                </c:pt>
                <c:pt idx="297">
                  <c:v>342.28800000000047</c:v>
                </c:pt>
                <c:pt idx="298">
                  <c:v>343.31900000000314</c:v>
                </c:pt>
                <c:pt idx="299">
                  <c:v>344.23999999999796</c:v>
                </c:pt>
                <c:pt idx="300">
                  <c:v>345.27099999999336</c:v>
                </c:pt>
                <c:pt idx="301">
                  <c:v>346.25600000000122</c:v>
                </c:pt>
                <c:pt idx="302">
                  <c:v>347.1929999999993</c:v>
                </c:pt>
                <c:pt idx="303">
                  <c:v>348.45900000000256</c:v>
                </c:pt>
                <c:pt idx="304">
                  <c:v>349.45900000000256</c:v>
                </c:pt>
                <c:pt idx="305">
                  <c:v>350.5679999999993</c:v>
                </c:pt>
                <c:pt idx="306">
                  <c:v>351.45900000000256</c:v>
                </c:pt>
                <c:pt idx="307">
                  <c:v>352.59900000000926</c:v>
                </c:pt>
                <c:pt idx="308">
                  <c:v>353.48999999999796</c:v>
                </c:pt>
                <c:pt idx="309">
                  <c:v>354.45299999999406</c:v>
                </c:pt>
                <c:pt idx="310">
                  <c:v>355.52199999999721</c:v>
                </c:pt>
                <c:pt idx="311">
                  <c:v>356.50600000000122</c:v>
                </c:pt>
                <c:pt idx="312">
                  <c:v>357.63100000000122</c:v>
                </c:pt>
                <c:pt idx="313">
                  <c:v>358.60100000000239</c:v>
                </c:pt>
                <c:pt idx="314">
                  <c:v>359.53699999999662</c:v>
                </c:pt>
                <c:pt idx="315">
                  <c:v>360.60100000000239</c:v>
                </c:pt>
                <c:pt idx="316">
                  <c:v>361.57400000000052</c:v>
                </c:pt>
                <c:pt idx="317">
                  <c:v>362.60599999999977</c:v>
                </c:pt>
                <c:pt idx="318">
                  <c:v>363.58999999999651</c:v>
                </c:pt>
                <c:pt idx="319">
                  <c:v>364.67700000000332</c:v>
                </c:pt>
                <c:pt idx="320">
                  <c:v>365.60700000000361</c:v>
                </c:pt>
                <c:pt idx="321">
                  <c:v>366.62099999999919</c:v>
                </c:pt>
                <c:pt idx="322">
                  <c:v>367.65200000000186</c:v>
                </c:pt>
                <c:pt idx="323">
                  <c:v>368.38700000000244</c:v>
                </c:pt>
                <c:pt idx="324">
                  <c:v>369.42799999999988</c:v>
                </c:pt>
                <c:pt idx="325">
                  <c:v>370.41300000000774</c:v>
                </c:pt>
                <c:pt idx="326">
                  <c:v>371.33499999999185</c:v>
                </c:pt>
                <c:pt idx="327">
                  <c:v>372.4600000000064</c:v>
                </c:pt>
                <c:pt idx="328">
                  <c:v>373.52199999999721</c:v>
                </c:pt>
                <c:pt idx="329">
                  <c:v>374.58400000000256</c:v>
                </c:pt>
                <c:pt idx="330">
                  <c:v>375.58400000000256</c:v>
                </c:pt>
                <c:pt idx="331">
                  <c:v>376.58400000000256</c:v>
                </c:pt>
                <c:pt idx="332">
                  <c:v>377.72499999999854</c:v>
                </c:pt>
                <c:pt idx="333">
                  <c:v>378.71100000000297</c:v>
                </c:pt>
                <c:pt idx="334">
                  <c:v>379.63100000000122</c:v>
                </c:pt>
                <c:pt idx="335">
                  <c:v>380.58400000000256</c:v>
                </c:pt>
                <c:pt idx="336">
                  <c:v>381.53699999999662</c:v>
                </c:pt>
                <c:pt idx="337">
                  <c:v>382.59999999999854</c:v>
                </c:pt>
                <c:pt idx="338">
                  <c:v>383.70999999999913</c:v>
                </c:pt>
                <c:pt idx="339">
                  <c:v>384.80299999999988</c:v>
                </c:pt>
                <c:pt idx="340">
                  <c:v>385.9910000000018</c:v>
                </c:pt>
                <c:pt idx="341">
                  <c:v>386.9910000000018</c:v>
                </c:pt>
                <c:pt idx="342">
                  <c:v>387.86600000000908</c:v>
                </c:pt>
                <c:pt idx="343">
                  <c:v>388.9010000000053</c:v>
                </c:pt>
                <c:pt idx="344">
                  <c:v>389.83400000000256</c:v>
                </c:pt>
                <c:pt idx="345">
                  <c:v>390.7410000000018</c:v>
                </c:pt>
                <c:pt idx="346">
                  <c:v>391.80299999999988</c:v>
                </c:pt>
                <c:pt idx="347">
                  <c:v>393.03799999999319</c:v>
                </c:pt>
                <c:pt idx="348">
                  <c:v>393.71100000001024</c:v>
                </c:pt>
                <c:pt idx="349">
                  <c:v>394.77100000000064</c:v>
                </c:pt>
                <c:pt idx="350">
                  <c:v>395.75600000000122</c:v>
                </c:pt>
                <c:pt idx="351">
                  <c:v>396.72499999999854</c:v>
                </c:pt>
                <c:pt idx="352">
                  <c:v>398.20900000000256</c:v>
                </c:pt>
                <c:pt idx="353">
                  <c:v>398.88199999999779</c:v>
                </c:pt>
                <c:pt idx="354">
                  <c:v>399.69400000000314</c:v>
                </c:pt>
                <c:pt idx="355">
                  <c:v>400.61699999999837</c:v>
                </c:pt>
                <c:pt idx="356">
                  <c:v>401.74199999999837</c:v>
                </c:pt>
                <c:pt idx="357">
                  <c:v>402.50800000000163</c:v>
                </c:pt>
                <c:pt idx="358">
                  <c:v>403.50800000000163</c:v>
                </c:pt>
                <c:pt idx="359">
                  <c:v>404.72499999999854</c:v>
                </c:pt>
                <c:pt idx="360">
                  <c:v>405.47500000000582</c:v>
                </c:pt>
                <c:pt idx="361">
                  <c:v>406.42799999999261</c:v>
                </c:pt>
                <c:pt idx="362">
                  <c:v>407.44400000000314</c:v>
                </c:pt>
                <c:pt idx="363">
                  <c:v>408.20999999999185</c:v>
                </c:pt>
                <c:pt idx="364">
                  <c:v>409.08400000000256</c:v>
                </c:pt>
                <c:pt idx="365">
                  <c:v>409.92800000000716</c:v>
                </c:pt>
                <c:pt idx="366">
                  <c:v>411.05299999999988</c:v>
                </c:pt>
                <c:pt idx="367">
                  <c:v>412.09999999999127</c:v>
                </c:pt>
                <c:pt idx="368">
                  <c:v>413.00600000000122</c:v>
                </c:pt>
                <c:pt idx="369">
                  <c:v>413.91300000000047</c:v>
                </c:pt>
                <c:pt idx="370">
                  <c:v>414.89699999999721</c:v>
                </c:pt>
                <c:pt idx="371">
                  <c:v>416.03800000000047</c:v>
                </c:pt>
                <c:pt idx="372">
                  <c:v>416.94400000000314</c:v>
                </c:pt>
                <c:pt idx="373">
                  <c:v>418.02300000000105</c:v>
                </c:pt>
                <c:pt idx="374">
                  <c:v>418.91300000000047</c:v>
                </c:pt>
                <c:pt idx="375">
                  <c:v>419.94400000000314</c:v>
                </c:pt>
                <c:pt idx="376">
                  <c:v>420.97500000000582</c:v>
                </c:pt>
                <c:pt idx="377">
                  <c:v>422.07600000000093</c:v>
                </c:pt>
                <c:pt idx="378">
                  <c:v>423.01299999999173</c:v>
                </c:pt>
                <c:pt idx="379">
                  <c:v>424.80300000000716</c:v>
                </c:pt>
                <c:pt idx="380">
                  <c:v>425.80999999999767</c:v>
                </c:pt>
                <c:pt idx="381">
                  <c:v>426.75900000000547</c:v>
                </c:pt>
                <c:pt idx="382">
                  <c:v>427.60300000000279</c:v>
                </c:pt>
                <c:pt idx="383">
                  <c:v>428.65400000000227</c:v>
                </c:pt>
                <c:pt idx="384">
                  <c:v>429.64699999998993</c:v>
                </c:pt>
                <c:pt idx="385">
                  <c:v>430.78800000000047</c:v>
                </c:pt>
                <c:pt idx="386">
                  <c:v>431.84999999999854</c:v>
                </c:pt>
                <c:pt idx="387">
                  <c:v>432.72499999999854</c:v>
                </c:pt>
                <c:pt idx="388">
                  <c:v>433.75800000000163</c:v>
                </c:pt>
                <c:pt idx="389">
                  <c:v>434.6620000000039</c:v>
                </c:pt>
                <c:pt idx="390">
                  <c:v>435.69400000001042</c:v>
                </c:pt>
                <c:pt idx="391">
                  <c:v>436.55299999999988</c:v>
                </c:pt>
                <c:pt idx="392">
                  <c:v>437.60000000000582</c:v>
                </c:pt>
                <c:pt idx="393">
                  <c:v>438.59999999999854</c:v>
                </c:pt>
                <c:pt idx="394">
                  <c:v>439.60100000000239</c:v>
                </c:pt>
                <c:pt idx="395">
                  <c:v>440.75699999999779</c:v>
                </c:pt>
                <c:pt idx="396">
                  <c:v>441.63199999999779</c:v>
                </c:pt>
                <c:pt idx="397">
                  <c:v>442.77300000000105</c:v>
                </c:pt>
                <c:pt idx="398">
                  <c:v>443.56999999999971</c:v>
                </c:pt>
                <c:pt idx="399">
                  <c:v>444.56900000000314</c:v>
                </c:pt>
                <c:pt idx="400">
                  <c:v>445.45999999999913</c:v>
                </c:pt>
                <c:pt idx="401">
                  <c:v>446.3660000000018</c:v>
                </c:pt>
                <c:pt idx="402">
                  <c:v>447.2410000000018</c:v>
                </c:pt>
                <c:pt idx="403">
                  <c:v>448.33499999999913</c:v>
                </c:pt>
                <c:pt idx="404">
                  <c:v>449.50599999999395</c:v>
                </c:pt>
                <c:pt idx="405">
                  <c:v>450.56900000001042</c:v>
                </c:pt>
                <c:pt idx="406">
                  <c:v>451.59999999999854</c:v>
                </c:pt>
                <c:pt idx="407">
                  <c:v>452.55299999999988</c:v>
                </c:pt>
                <c:pt idx="408">
                  <c:v>453.78800000000047</c:v>
                </c:pt>
                <c:pt idx="409">
                  <c:v>454.80299999999988</c:v>
                </c:pt>
                <c:pt idx="410">
                  <c:v>455.77199999998993</c:v>
                </c:pt>
                <c:pt idx="411">
                  <c:v>456.58499999999913</c:v>
                </c:pt>
                <c:pt idx="412">
                  <c:v>457.72499999999854</c:v>
                </c:pt>
                <c:pt idx="413">
                  <c:v>458.70999999999185</c:v>
                </c:pt>
                <c:pt idx="414">
                  <c:v>459.80399999999645</c:v>
                </c:pt>
                <c:pt idx="415">
                  <c:v>460.68000000000029</c:v>
                </c:pt>
                <c:pt idx="416">
                  <c:v>461.55499999999302</c:v>
                </c:pt>
                <c:pt idx="417">
                  <c:v>462.74200000000565</c:v>
                </c:pt>
                <c:pt idx="418">
                  <c:v>463.78899999999703</c:v>
                </c:pt>
                <c:pt idx="419">
                  <c:v>464.72600000000239</c:v>
                </c:pt>
                <c:pt idx="420">
                  <c:v>465.55399999999645</c:v>
                </c:pt>
                <c:pt idx="421">
                  <c:v>480.20999999999913</c:v>
                </c:pt>
                <c:pt idx="422">
                  <c:v>481.17500000000291</c:v>
                </c:pt>
                <c:pt idx="423">
                  <c:v>482.16900000000169</c:v>
                </c:pt>
                <c:pt idx="424">
                  <c:v>483.07499999998981</c:v>
                </c:pt>
                <c:pt idx="425">
                  <c:v>484.11499999999796</c:v>
                </c:pt>
                <c:pt idx="426">
                  <c:v>485.29400000000896</c:v>
                </c:pt>
                <c:pt idx="427">
                  <c:v>486.25700000000506</c:v>
                </c:pt>
                <c:pt idx="428">
                  <c:v>487.22600000000239</c:v>
                </c:pt>
                <c:pt idx="429">
                  <c:v>488.30399999999645</c:v>
                </c:pt>
                <c:pt idx="430">
                  <c:v>489.2560000000085</c:v>
                </c:pt>
                <c:pt idx="431">
                  <c:v>490.44399999999587</c:v>
                </c:pt>
                <c:pt idx="432">
                  <c:v>491.39700000000448</c:v>
                </c:pt>
                <c:pt idx="433">
                  <c:v>492.39699999999721</c:v>
                </c:pt>
                <c:pt idx="434">
                  <c:v>493.41299999999319</c:v>
                </c:pt>
                <c:pt idx="435">
                  <c:v>494.31900000000314</c:v>
                </c:pt>
                <c:pt idx="436">
                  <c:v>495.28800000000047</c:v>
                </c:pt>
                <c:pt idx="437">
                  <c:v>496.39699999999721</c:v>
                </c:pt>
                <c:pt idx="438">
                  <c:v>497.50699999999779</c:v>
                </c:pt>
                <c:pt idx="439">
                  <c:v>498.66300000000047</c:v>
                </c:pt>
                <c:pt idx="440">
                  <c:v>499.42899999999645</c:v>
                </c:pt>
                <c:pt idx="441">
                  <c:v>500.36699999999837</c:v>
                </c:pt>
                <c:pt idx="442">
                  <c:v>501.39799999999377</c:v>
                </c:pt>
                <c:pt idx="443">
                  <c:v>502.28900000000431</c:v>
                </c:pt>
                <c:pt idx="444">
                  <c:v>503.36699999999837</c:v>
                </c:pt>
                <c:pt idx="445">
                  <c:v>504.25699999999779</c:v>
                </c:pt>
                <c:pt idx="446">
                  <c:v>505.27199999999721</c:v>
                </c:pt>
                <c:pt idx="447">
                  <c:v>506.30399999998917</c:v>
                </c:pt>
                <c:pt idx="448">
                  <c:v>507.44400000000314</c:v>
                </c:pt>
                <c:pt idx="449">
                  <c:v>508.42899999999645</c:v>
                </c:pt>
                <c:pt idx="450">
                  <c:v>509.31900000000314</c:v>
                </c:pt>
                <c:pt idx="451">
                  <c:v>510.22499999999854</c:v>
                </c:pt>
                <c:pt idx="452">
                  <c:v>511.08499999999913</c:v>
                </c:pt>
                <c:pt idx="453">
                  <c:v>512.03800000000047</c:v>
                </c:pt>
                <c:pt idx="454">
                  <c:v>513.06900000000314</c:v>
                </c:pt>
                <c:pt idx="455">
                  <c:v>514.06900000000314</c:v>
                </c:pt>
                <c:pt idx="456">
                  <c:v>515.10100000000239</c:v>
                </c:pt>
                <c:pt idx="457">
                  <c:v>516.08499999999913</c:v>
                </c:pt>
                <c:pt idx="458">
                  <c:v>517.03899999999703</c:v>
                </c:pt>
                <c:pt idx="459">
                  <c:v>518.03899999999703</c:v>
                </c:pt>
                <c:pt idx="460">
                  <c:v>519.08499999999913</c:v>
                </c:pt>
                <c:pt idx="461">
                  <c:v>520.27300000000105</c:v>
                </c:pt>
                <c:pt idx="462">
                  <c:v>521.41399999998976</c:v>
                </c:pt>
                <c:pt idx="463">
                  <c:v>522.53899999998976</c:v>
                </c:pt>
                <c:pt idx="464">
                  <c:v>523.36700000000565</c:v>
                </c:pt>
                <c:pt idx="465">
                  <c:v>524.52199999999721</c:v>
                </c:pt>
                <c:pt idx="466">
                  <c:v>525.38100000000122</c:v>
                </c:pt>
                <c:pt idx="467">
                  <c:v>526.52199999998993</c:v>
                </c:pt>
                <c:pt idx="468">
                  <c:v>527.64700000000448</c:v>
                </c:pt>
                <c:pt idx="469">
                  <c:v>528.70999999999913</c:v>
                </c:pt>
                <c:pt idx="470">
                  <c:v>529.45999999999913</c:v>
                </c:pt>
                <c:pt idx="471">
                  <c:v>530.45999999999913</c:v>
                </c:pt>
                <c:pt idx="472">
                  <c:v>531.38199999999779</c:v>
                </c:pt>
                <c:pt idx="473">
                  <c:v>532.20999999999913</c:v>
                </c:pt>
                <c:pt idx="474">
                  <c:v>533.11699999999837</c:v>
                </c:pt>
                <c:pt idx="475">
                  <c:v>534.2410000000018</c:v>
                </c:pt>
                <c:pt idx="476">
                  <c:v>535.16399999999703</c:v>
                </c:pt>
                <c:pt idx="477">
                  <c:v>536.25800000000163</c:v>
                </c:pt>
                <c:pt idx="478">
                  <c:v>537.18000000000029</c:v>
                </c:pt>
                <c:pt idx="479">
                  <c:v>538.14899999999761</c:v>
                </c:pt>
                <c:pt idx="480">
                  <c:v>539.10099999999511</c:v>
                </c:pt>
                <c:pt idx="481">
                  <c:v>540.14800000000105</c:v>
                </c:pt>
                <c:pt idx="482">
                  <c:v>541.1710000000021</c:v>
                </c:pt>
                <c:pt idx="483">
                  <c:v>542.1849999999904</c:v>
                </c:pt>
                <c:pt idx="484">
                  <c:v>543.13799999999901</c:v>
                </c:pt>
                <c:pt idx="485">
                  <c:v>544.28800000000047</c:v>
                </c:pt>
                <c:pt idx="486">
                  <c:v>545.37299999999959</c:v>
                </c:pt>
                <c:pt idx="487">
                  <c:v>546.37299999999959</c:v>
                </c:pt>
                <c:pt idx="488">
                  <c:v>547.45100000000093</c:v>
                </c:pt>
                <c:pt idx="489">
                  <c:v>548.41999999999825</c:v>
                </c:pt>
                <c:pt idx="490">
                  <c:v>549.59999999999854</c:v>
                </c:pt>
                <c:pt idx="491">
                  <c:v>550.46100000000297</c:v>
                </c:pt>
                <c:pt idx="492">
                  <c:v>551.39899999999761</c:v>
                </c:pt>
                <c:pt idx="493">
                  <c:v>552.41399999999703</c:v>
                </c:pt>
                <c:pt idx="494">
                  <c:v>553.39899999999761</c:v>
                </c:pt>
                <c:pt idx="495">
                  <c:v>554.58499999999913</c:v>
                </c:pt>
                <c:pt idx="496">
                  <c:v>555.30399999999645</c:v>
                </c:pt>
                <c:pt idx="497">
                  <c:v>556.47600000000239</c:v>
                </c:pt>
                <c:pt idx="498">
                  <c:v>557.33600000000297</c:v>
                </c:pt>
                <c:pt idx="499">
                  <c:v>558.27300000000105</c:v>
                </c:pt>
                <c:pt idx="500">
                  <c:v>559.38200000000506</c:v>
                </c:pt>
                <c:pt idx="501">
                  <c:v>560.44499999999971</c:v>
                </c:pt>
                <c:pt idx="502">
                  <c:v>561.20999999999913</c:v>
                </c:pt>
                <c:pt idx="503">
                  <c:v>562.41399999998976</c:v>
                </c:pt>
                <c:pt idx="504">
                  <c:v>563.55399999999645</c:v>
                </c:pt>
                <c:pt idx="505">
                  <c:v>564.58600000000297</c:v>
                </c:pt>
                <c:pt idx="506">
                  <c:v>565.56999999999971</c:v>
                </c:pt>
                <c:pt idx="507">
                  <c:v>566.60199999999895</c:v>
                </c:pt>
                <c:pt idx="508">
                  <c:v>567.80500000000029</c:v>
                </c:pt>
                <c:pt idx="509">
                  <c:v>568.71100000000297</c:v>
                </c:pt>
                <c:pt idx="510">
                  <c:v>569.72600000000239</c:v>
                </c:pt>
                <c:pt idx="511">
                  <c:v>570.94499999999971</c:v>
                </c:pt>
                <c:pt idx="512">
                  <c:v>571.78900000000431</c:v>
                </c:pt>
                <c:pt idx="513">
                  <c:v>572.97599999999511</c:v>
                </c:pt>
                <c:pt idx="514">
                  <c:v>574.03800000000047</c:v>
                </c:pt>
                <c:pt idx="515">
                  <c:v>574.83499999999913</c:v>
                </c:pt>
                <c:pt idx="516">
                  <c:v>575.74099999999453</c:v>
                </c:pt>
                <c:pt idx="517">
                  <c:v>576.89799999999377</c:v>
                </c:pt>
                <c:pt idx="518">
                  <c:v>577.61699999999837</c:v>
                </c:pt>
                <c:pt idx="519">
                  <c:v>578.60100000000239</c:v>
                </c:pt>
                <c:pt idx="520">
                  <c:v>579.53800000000774</c:v>
                </c:pt>
                <c:pt idx="521">
                  <c:v>580.50699999999779</c:v>
                </c:pt>
                <c:pt idx="522">
                  <c:v>581.47600000000239</c:v>
                </c:pt>
                <c:pt idx="523">
                  <c:v>582.39699999998993</c:v>
                </c:pt>
                <c:pt idx="524">
                  <c:v>583.30399999999645</c:v>
                </c:pt>
                <c:pt idx="525">
                  <c:v>584.38199999999051</c:v>
                </c:pt>
                <c:pt idx="526">
                  <c:v>585.27300000000105</c:v>
                </c:pt>
                <c:pt idx="527">
                  <c:v>586.44600000000355</c:v>
                </c:pt>
                <c:pt idx="528">
                  <c:v>587.52400000000489</c:v>
                </c:pt>
                <c:pt idx="529">
                  <c:v>588.29000000000815</c:v>
                </c:pt>
                <c:pt idx="530">
                  <c:v>589.38199999999779</c:v>
                </c:pt>
                <c:pt idx="531">
                  <c:v>590.25700000000506</c:v>
                </c:pt>
                <c:pt idx="532">
                  <c:v>591.41300000000774</c:v>
                </c:pt>
                <c:pt idx="533">
                  <c:v>592.38199999999779</c:v>
                </c:pt>
                <c:pt idx="534">
                  <c:v>593.20999999999913</c:v>
                </c:pt>
                <c:pt idx="535">
                  <c:v>594.36699999999837</c:v>
                </c:pt>
                <c:pt idx="536">
                  <c:v>595.33600000000297</c:v>
                </c:pt>
                <c:pt idx="537">
                  <c:v>596.25800000000163</c:v>
                </c:pt>
                <c:pt idx="538">
                  <c:v>597.27300000000105</c:v>
                </c:pt>
                <c:pt idx="539">
                  <c:v>598.36699999999837</c:v>
                </c:pt>
                <c:pt idx="540">
                  <c:v>599.19499999999243</c:v>
                </c:pt>
                <c:pt idx="541">
                  <c:v>600.27300000000105</c:v>
                </c:pt>
                <c:pt idx="542">
                  <c:v>601.35700000000361</c:v>
                </c:pt>
                <c:pt idx="543">
                  <c:v>602.40499999999884</c:v>
                </c:pt>
                <c:pt idx="544">
                  <c:v>603.4519999999975</c:v>
                </c:pt>
                <c:pt idx="545">
                  <c:v>604.67899999999645</c:v>
                </c:pt>
                <c:pt idx="546">
                  <c:v>605.73200000000361</c:v>
                </c:pt>
                <c:pt idx="547">
                  <c:v>606.55000000000291</c:v>
                </c:pt>
                <c:pt idx="548">
                  <c:v>607.72299999999086</c:v>
                </c:pt>
                <c:pt idx="549">
                  <c:v>608.66100000000006</c:v>
                </c:pt>
                <c:pt idx="550">
                  <c:v>609.49199999999837</c:v>
                </c:pt>
                <c:pt idx="551">
                  <c:v>610.46100000000297</c:v>
                </c:pt>
                <c:pt idx="552">
                  <c:v>611.44499999999971</c:v>
                </c:pt>
                <c:pt idx="553">
                  <c:v>612.38300000000163</c:v>
                </c:pt>
                <c:pt idx="554">
                  <c:v>613.58600000001024</c:v>
                </c:pt>
                <c:pt idx="555">
                  <c:v>614.60099999999511</c:v>
                </c:pt>
                <c:pt idx="556">
                  <c:v>615.66399999999703</c:v>
                </c:pt>
                <c:pt idx="557">
                  <c:v>616.57100000000355</c:v>
                </c:pt>
                <c:pt idx="558">
                  <c:v>617.5399999999936</c:v>
                </c:pt>
                <c:pt idx="559">
                  <c:v>618.57100000001083</c:v>
                </c:pt>
                <c:pt idx="560">
                  <c:v>619.44400000000314</c:v>
                </c:pt>
                <c:pt idx="561">
                  <c:v>620.52300000000105</c:v>
                </c:pt>
                <c:pt idx="562">
                  <c:v>621.4600000000064</c:v>
                </c:pt>
                <c:pt idx="563">
                  <c:v>622.35099999999511</c:v>
                </c:pt>
                <c:pt idx="564">
                  <c:v>623.67899999999645</c:v>
                </c:pt>
                <c:pt idx="565">
                  <c:v>624.75800000000163</c:v>
                </c:pt>
                <c:pt idx="566">
                  <c:v>625.66399999999703</c:v>
                </c:pt>
                <c:pt idx="567">
                  <c:v>626.64800000000105</c:v>
                </c:pt>
                <c:pt idx="568">
                  <c:v>627.85199999999895</c:v>
                </c:pt>
                <c:pt idx="569">
                  <c:v>628.61699999999109</c:v>
                </c:pt>
                <c:pt idx="570">
                  <c:v>629.70999999999913</c:v>
                </c:pt>
              </c:numCache>
            </c:numRef>
          </c:xVal>
          <c:yVal>
            <c:numRef>
              <c:f>'20230211_A7C771_507513747_ADSB_'!$BB$3:$BB$573</c:f>
              <c:numCache>
                <c:formatCode>0</c:formatCode>
                <c:ptCount val="571"/>
                <c:pt idx="0">
                  <c:v>267.44158240632663</c:v>
                </c:pt>
                <c:pt idx="1">
                  <c:v>266.90822392725181</c:v>
                </c:pt>
                <c:pt idx="2">
                  <c:v>266.0620228442985</c:v>
                </c:pt>
                <c:pt idx="3">
                  <c:v>264.68282906150148</c:v>
                </c:pt>
                <c:pt idx="4">
                  <c:v>264.1514716975849</c:v>
                </c:pt>
                <c:pt idx="5">
                  <c:v>262.77366686941826</c:v>
                </c:pt>
                <c:pt idx="6">
                  <c:v>261.39625092950359</c:v>
                </c:pt>
                <c:pt idx="7">
                  <c:v>260.54750046776502</c:v>
                </c:pt>
                <c:pt idx="8">
                  <c:v>259.16982849089516</c:v>
                </c:pt>
                <c:pt idx="9">
                  <c:v>257.79255225859418</c:v>
                </c:pt>
                <c:pt idx="10">
                  <c:v>253.6631624812716</c:v>
                </c:pt>
                <c:pt idx="11">
                  <c:v>252.28753437298482</c:v>
                </c:pt>
                <c:pt idx="12">
                  <c:v>250.9123352886422</c:v>
                </c:pt>
                <c:pt idx="13">
                  <c:v>248.68453912537467</c:v>
                </c:pt>
                <c:pt idx="14">
                  <c:v>247.3095226634025</c:v>
                </c:pt>
                <c:pt idx="15">
                  <c:v>245.93495074917675</c:v>
                </c:pt>
                <c:pt idx="16">
                  <c:v>244.56083087853622</c:v>
                </c:pt>
                <c:pt idx="17">
                  <c:v>243.70679104202247</c:v>
                </c:pt>
                <c:pt idx="18">
                  <c:v>242.33241632105268</c:v>
                </c:pt>
                <c:pt idx="19">
                  <c:v>241.81397809059757</c:v>
                </c:pt>
                <c:pt idx="20">
                  <c:v>240.44126101815388</c:v>
                </c:pt>
                <c:pt idx="21">
                  <c:v>239.06902768865731</c:v>
                </c:pt>
                <c:pt idx="22">
                  <c:v>237.35627229968034</c:v>
                </c:pt>
                <c:pt idx="23">
                  <c:v>236.83960817397076</c:v>
                </c:pt>
                <c:pt idx="24">
                  <c:v>235.46761985462035</c:v>
                </c:pt>
                <c:pt idx="25">
                  <c:v>234.09613409879285</c:v>
                </c:pt>
                <c:pt idx="26">
                  <c:v>231.86634080866503</c:v>
                </c:pt>
                <c:pt idx="27">
                  <c:v>231.35470602518549</c:v>
                </c:pt>
                <c:pt idx="28">
                  <c:v>230.4951192541829</c:v>
                </c:pt>
                <c:pt idx="29">
                  <c:v>229.12442034842118</c:v>
                </c:pt>
                <c:pt idx="30">
                  <c:v>226.38462845343543</c:v>
                </c:pt>
                <c:pt idx="31">
                  <c:v>226.38462845343543</c:v>
                </c:pt>
                <c:pt idx="32">
                  <c:v>225.52383466055201</c:v>
                </c:pt>
                <c:pt idx="33">
                  <c:v>224.1539649437413</c:v>
                </c:pt>
                <c:pt idx="34">
                  <c:v>222.78464938141497</c:v>
                </c:pt>
                <c:pt idx="35">
                  <c:v>221.41589825484527</c:v>
                </c:pt>
                <c:pt idx="36">
                  <c:v>220.55384830013736</c:v>
                </c:pt>
                <c:pt idx="37">
                  <c:v>219.18485349129398</c:v>
                </c:pt>
                <c:pt idx="38">
                  <c:v>205.65261972559455</c:v>
                </c:pt>
                <c:pt idx="39">
                  <c:v>204.78769494283586</c:v>
                </c:pt>
                <c:pt idx="40">
                  <c:v>203.42074623793906</c:v>
                </c:pt>
                <c:pt idx="41">
                  <c:v>202.92116695899421</c:v>
                </c:pt>
                <c:pt idx="42">
                  <c:v>202.05444810743464</c:v>
                </c:pt>
                <c:pt idx="43">
                  <c:v>201.1889659002203</c:v>
                </c:pt>
                <c:pt idx="44">
                  <c:v>200.68881383873889</c:v>
                </c:pt>
                <c:pt idx="45">
                  <c:v>199.82242116439286</c:v>
                </c:pt>
                <c:pt idx="46">
                  <c:v>198.45654436173174</c:v>
                </c:pt>
                <c:pt idx="47">
                  <c:v>198.45654436173174</c:v>
                </c:pt>
                <c:pt idx="48">
                  <c:v>197.0913493789111</c:v>
                </c:pt>
                <c:pt idx="49">
                  <c:v>196.22436138257655</c:v>
                </c:pt>
                <c:pt idx="50">
                  <c:v>195.72685048301369</c:v>
                </c:pt>
                <c:pt idx="51">
                  <c:v>194.85892332659543</c:v>
                </c:pt>
                <c:pt idx="52">
                  <c:v>193.49418595916518</c:v>
                </c:pt>
                <c:pt idx="53">
                  <c:v>192.62658175859323</c:v>
                </c:pt>
                <c:pt idx="54">
                  <c:v>192.13016421166145</c:v>
                </c:pt>
                <c:pt idx="55">
                  <c:v>191.26160095534075</c:v>
                </c:pt>
                <c:pt idx="56">
                  <c:v>191.26160095534075</c:v>
                </c:pt>
                <c:pt idx="57">
                  <c:v>190.3943276465977</c:v>
                </c:pt>
                <c:pt idx="58">
                  <c:v>189.02909828912584</c:v>
                </c:pt>
                <c:pt idx="59">
                  <c:v>187.66459442313567</c:v>
                </c:pt>
                <c:pt idx="60">
                  <c:v>186.79668091269716</c:v>
                </c:pt>
                <c:pt idx="61">
                  <c:v>186.79668091269716</c:v>
                </c:pt>
                <c:pt idx="62">
                  <c:v>186.79668091269716</c:v>
                </c:pt>
                <c:pt idx="63">
                  <c:v>185.43192821086663</c:v>
                </c:pt>
                <c:pt idx="64">
                  <c:v>185.43192821086663</c:v>
                </c:pt>
                <c:pt idx="65">
                  <c:v>183.19934497699495</c:v>
                </c:pt>
                <c:pt idx="66">
                  <c:v>181.8350901228913</c:v>
                </c:pt>
                <c:pt idx="67">
                  <c:v>180.47160441465576</c:v>
                </c:pt>
                <c:pt idx="68">
                  <c:v>180.47160441465576</c:v>
                </c:pt>
                <c:pt idx="69">
                  <c:v>178.73443988218946</c:v>
                </c:pt>
                <c:pt idx="70">
                  <c:v>178.73443988218946</c:v>
                </c:pt>
                <c:pt idx="71">
                  <c:v>177.36967046256808</c:v>
                </c:pt>
                <c:pt idx="72">
                  <c:v>177.36967046256808</c:v>
                </c:pt>
                <c:pt idx="73">
                  <c:v>176.50212463310464</c:v>
                </c:pt>
                <c:pt idx="74">
                  <c:v>175.13708916160505</c:v>
                </c:pt>
                <c:pt idx="75">
                  <c:v>173.77284022539311</c:v>
                </c:pt>
                <c:pt idx="76">
                  <c:v>173.77284022539311</c:v>
                </c:pt>
                <c:pt idx="77">
                  <c:v>172.90459797240788</c:v>
                </c:pt>
                <c:pt idx="78">
                  <c:v>171.54008277950666</c:v>
                </c:pt>
                <c:pt idx="79">
                  <c:v>170.67220043111882</c:v>
                </c:pt>
                <c:pt idx="80">
                  <c:v>170.67220043111882</c:v>
                </c:pt>
                <c:pt idx="81">
                  <c:v>169.30741271426953</c:v>
                </c:pt>
                <c:pt idx="82">
                  <c:v>169.30741271426953</c:v>
                </c:pt>
                <c:pt idx="83">
                  <c:v>167.94344286098223</c:v>
                </c:pt>
                <c:pt idx="84">
                  <c:v>167.0748335327616</c:v>
                </c:pt>
                <c:pt idx="85">
                  <c:v>167.0748335327616</c:v>
                </c:pt>
                <c:pt idx="86">
                  <c:v>165.71059109181888</c:v>
                </c:pt>
                <c:pt idx="87">
                  <c:v>164.84234892769516</c:v>
                </c:pt>
                <c:pt idx="88">
                  <c:v>163.97560794215707</c:v>
                </c:pt>
                <c:pt idx="89">
                  <c:v>163.97560794215707</c:v>
                </c:pt>
                <c:pt idx="90">
                  <c:v>162.60996279441184</c:v>
                </c:pt>
                <c:pt idx="91">
                  <c:v>161.74362429474616</c:v>
                </c:pt>
                <c:pt idx="92">
                  <c:v>161.74362429474616</c:v>
                </c:pt>
                <c:pt idx="93">
                  <c:v>161.74362429474616</c:v>
                </c:pt>
                <c:pt idx="94">
                  <c:v>161.24515496597098</c:v>
                </c:pt>
                <c:pt idx="95">
                  <c:v>161.24515496597098</c:v>
                </c:pt>
                <c:pt idx="96">
                  <c:v>161.24515496597098</c:v>
                </c:pt>
                <c:pt idx="97">
                  <c:v>161.24515496597098</c:v>
                </c:pt>
                <c:pt idx="98">
                  <c:v>161.24515496597098</c:v>
                </c:pt>
                <c:pt idx="99">
                  <c:v>161.24515496597098</c:v>
                </c:pt>
                <c:pt idx="100">
                  <c:v>162.11415730897781</c:v>
                </c:pt>
                <c:pt idx="101">
                  <c:v>162.60996279441184</c:v>
                </c:pt>
                <c:pt idx="102">
                  <c:v>162.60996279441184</c:v>
                </c:pt>
                <c:pt idx="103">
                  <c:v>162.60996279441184</c:v>
                </c:pt>
                <c:pt idx="104">
                  <c:v>163.97560794215707</c:v>
                </c:pt>
                <c:pt idx="105">
                  <c:v>163.97560794215707</c:v>
                </c:pt>
                <c:pt idx="106">
                  <c:v>164.47796204963143</c:v>
                </c:pt>
                <c:pt idx="107">
                  <c:v>164.47796204963143</c:v>
                </c:pt>
                <c:pt idx="108">
                  <c:v>164.98484778912274</c:v>
                </c:pt>
                <c:pt idx="109">
                  <c:v>165.84631439980811</c:v>
                </c:pt>
                <c:pt idx="110">
                  <c:v>165.84631439980811</c:v>
                </c:pt>
                <c:pt idx="111">
                  <c:v>166.35504200354134</c:v>
                </c:pt>
                <c:pt idx="112">
                  <c:v>166.35504200354134</c:v>
                </c:pt>
                <c:pt idx="113">
                  <c:v>167.72596698186004</c:v>
                </c:pt>
                <c:pt idx="114">
                  <c:v>167.72596698186004</c:v>
                </c:pt>
                <c:pt idx="115">
                  <c:v>168.5852899869974</c:v>
                </c:pt>
                <c:pt idx="116">
                  <c:v>169.09760495051373</c:v>
                </c:pt>
                <c:pt idx="117">
                  <c:v>169.09760495051373</c:v>
                </c:pt>
                <c:pt idx="118">
                  <c:v>169.95587662684687</c:v>
                </c:pt>
                <c:pt idx="119">
                  <c:v>171.32717239247253</c:v>
                </c:pt>
                <c:pt idx="120">
                  <c:v>171.32717239247253</c:v>
                </c:pt>
                <c:pt idx="121">
                  <c:v>172.69916039170545</c:v>
                </c:pt>
                <c:pt idx="122">
                  <c:v>172.69916039170545</c:v>
                </c:pt>
                <c:pt idx="123">
                  <c:v>173.55690709389816</c:v>
                </c:pt>
                <c:pt idx="124">
                  <c:v>174.07182425654074</c:v>
                </c:pt>
                <c:pt idx="125">
                  <c:v>174.59095051004218</c:v>
                </c:pt>
                <c:pt idx="126">
                  <c:v>175.44514812328097</c:v>
                </c:pt>
                <c:pt idx="127">
                  <c:v>175.44514812328097</c:v>
                </c:pt>
                <c:pt idx="128">
                  <c:v>175.96590578859303</c:v>
                </c:pt>
                <c:pt idx="129">
                  <c:v>176.81911661356077</c:v>
                </c:pt>
                <c:pt idx="130">
                  <c:v>177.34147850968199</c:v>
                </c:pt>
                <c:pt idx="131">
                  <c:v>178.1937148162078</c:v>
                </c:pt>
                <c:pt idx="132">
                  <c:v>178.1937148162078</c:v>
                </c:pt>
                <c:pt idx="133">
                  <c:v>179.0474797365213</c:v>
                </c:pt>
                <c:pt idx="134">
                  <c:v>179.56892826989863</c:v>
                </c:pt>
                <c:pt idx="135">
                  <c:v>180.42172818150257</c:v>
                </c:pt>
                <c:pt idx="136">
                  <c:v>180.42172818150257</c:v>
                </c:pt>
                <c:pt idx="137">
                  <c:v>181.27603261324978</c:v>
                </c:pt>
                <c:pt idx="138">
                  <c:v>181.79658962697843</c:v>
                </c:pt>
                <c:pt idx="139">
                  <c:v>181.79658962697843</c:v>
                </c:pt>
                <c:pt idx="140">
                  <c:v>181.47176088857461</c:v>
                </c:pt>
                <c:pt idx="141">
                  <c:v>181.47176088857461</c:v>
                </c:pt>
                <c:pt idx="142">
                  <c:v>181.47176088857461</c:v>
                </c:pt>
                <c:pt idx="143">
                  <c:v>181.47176088857461</c:v>
                </c:pt>
                <c:pt idx="144">
                  <c:v>182.00274723201295</c:v>
                </c:pt>
                <c:pt idx="145">
                  <c:v>182.00274723201295</c:v>
                </c:pt>
                <c:pt idx="146">
                  <c:v>182.00274723201295</c:v>
                </c:pt>
                <c:pt idx="147">
                  <c:v>182.00274723201295</c:v>
                </c:pt>
                <c:pt idx="148">
                  <c:v>182.53766734567415</c:v>
                </c:pt>
                <c:pt idx="149">
                  <c:v>182.53766734567415</c:v>
                </c:pt>
                <c:pt idx="150">
                  <c:v>182.53766734567415</c:v>
                </c:pt>
                <c:pt idx="151">
                  <c:v>182.53766734567415</c:v>
                </c:pt>
                <c:pt idx="152">
                  <c:v>182.53766734567415</c:v>
                </c:pt>
                <c:pt idx="153">
                  <c:v>183.38211472223784</c:v>
                </c:pt>
                <c:pt idx="154">
                  <c:v>183.38211472223784</c:v>
                </c:pt>
                <c:pt idx="155">
                  <c:v>183.91846019364124</c:v>
                </c:pt>
                <c:pt idx="156">
                  <c:v>183.91846019364124</c:v>
                </c:pt>
                <c:pt idx="157">
                  <c:v>183.07648674802562</c:v>
                </c:pt>
                <c:pt idx="158">
                  <c:v>183.07648674802562</c:v>
                </c:pt>
                <c:pt idx="159">
                  <c:v>183.07648674802562</c:v>
                </c:pt>
                <c:pt idx="160">
                  <c:v>182.7812900709479</c:v>
                </c:pt>
                <c:pt idx="161">
                  <c:v>183.61917111238685</c:v>
                </c:pt>
                <c:pt idx="162">
                  <c:v>183.61917111238685</c:v>
                </c:pt>
                <c:pt idx="163">
                  <c:v>185.00270268296083</c:v>
                </c:pt>
                <c:pt idx="164">
                  <c:v>186.3866948041088</c:v>
                </c:pt>
                <c:pt idx="165">
                  <c:v>186.3866948041088</c:v>
                </c:pt>
                <c:pt idx="166">
                  <c:v>187.22446421341417</c:v>
                </c:pt>
                <c:pt idx="167">
                  <c:v>188.60805921274945</c:v>
                </c:pt>
                <c:pt idx="168">
                  <c:v>189.44656238633627</c:v>
                </c:pt>
                <c:pt idx="169">
                  <c:v>190.82976707002501</c:v>
                </c:pt>
                <c:pt idx="170">
                  <c:v>191.66898549321954</c:v>
                </c:pt>
                <c:pt idx="171">
                  <c:v>193.89172236070317</c:v>
                </c:pt>
                <c:pt idx="172">
                  <c:v>195.27416623813812</c:v>
                </c:pt>
                <c:pt idx="173">
                  <c:v>196.65706191235543</c:v>
                </c:pt>
                <c:pt idx="174">
                  <c:v>196.65706191235543</c:v>
                </c:pt>
                <c:pt idx="175">
                  <c:v>197.49683541768459</c:v>
                </c:pt>
                <c:pt idx="176">
                  <c:v>198.8793604173143</c:v>
                </c:pt>
                <c:pt idx="177">
                  <c:v>198.8793604173143</c:v>
                </c:pt>
                <c:pt idx="178">
                  <c:v>200.26232796010336</c:v>
                </c:pt>
                <c:pt idx="179">
                  <c:v>200.26232796010336</c:v>
                </c:pt>
                <c:pt idx="180">
                  <c:v>203.86760409638407</c:v>
                </c:pt>
                <c:pt idx="181">
                  <c:v>203.86760409638407</c:v>
                </c:pt>
                <c:pt idx="182">
                  <c:v>204.41379601191306</c:v>
                </c:pt>
                <c:pt idx="183">
                  <c:v>205.25106577067999</c:v>
                </c:pt>
                <c:pt idx="184">
                  <c:v>207.18349355100662</c:v>
                </c:pt>
                <c:pt idx="185">
                  <c:v>207.18349355100662</c:v>
                </c:pt>
                <c:pt idx="186">
                  <c:v>208.568933448872</c:v>
                </c:pt>
                <c:pt idx="187">
                  <c:v>209.95475703112803</c:v>
                </c:pt>
                <c:pt idx="188">
                  <c:v>210.78899402008636</c:v>
                </c:pt>
                <c:pt idx="189">
                  <c:v>211.3409567499873</c:v>
                </c:pt>
                <c:pt idx="190">
                  <c:v>212.72752525237536</c:v>
                </c:pt>
                <c:pt idx="191">
                  <c:v>212.72752525237536</c:v>
                </c:pt>
                <c:pt idx="192">
                  <c:v>213.01643129110957</c:v>
                </c:pt>
                <c:pt idx="193">
                  <c:v>213.01643129110957</c:v>
                </c:pt>
                <c:pt idx="194">
                  <c:v>212.4547010541306</c:v>
                </c:pt>
                <c:pt idx="195">
                  <c:v>212.17445652104308</c:v>
                </c:pt>
                <c:pt idx="196">
                  <c:v>211.3764414498456</c:v>
                </c:pt>
                <c:pt idx="197">
                  <c:v>210.62288574606512</c:v>
                </c:pt>
                <c:pt idx="198">
                  <c:v>209.91426821443082</c:v>
                </c:pt>
                <c:pt idx="199">
                  <c:v>209.25104539762759</c:v>
                </c:pt>
                <c:pt idx="200">
                  <c:v>209.124364912365</c:v>
                </c:pt>
                <c:pt idx="201">
                  <c:v>207.66318884193223</c:v>
                </c:pt>
                <c:pt idx="202">
                  <c:v>207.5885353289049</c:v>
                </c:pt>
                <c:pt idx="203">
                  <c:v>207.07728026029315</c:v>
                </c:pt>
                <c:pt idx="204">
                  <c:v>207.51144546747295</c:v>
                </c:pt>
                <c:pt idx="205">
                  <c:v>207.50903594783529</c:v>
                </c:pt>
                <c:pt idx="206">
                  <c:v>207.06762180505189</c:v>
                </c:pt>
                <c:pt idx="207">
                  <c:v>207.06762180505189</c:v>
                </c:pt>
                <c:pt idx="208">
                  <c:v>207.06762180505189</c:v>
                </c:pt>
                <c:pt idx="209">
                  <c:v>207.53072061745462</c:v>
                </c:pt>
                <c:pt idx="210">
                  <c:v>206.67123650861529</c:v>
                </c:pt>
                <c:pt idx="211">
                  <c:v>207.15453169071634</c:v>
                </c:pt>
                <c:pt idx="212">
                  <c:v>207.15453169071634</c:v>
                </c:pt>
                <c:pt idx="213">
                  <c:v>206.73654732533385</c:v>
                </c:pt>
                <c:pt idx="214">
                  <c:v>206.0218435020908</c:v>
                </c:pt>
                <c:pt idx="215">
                  <c:v>205.62587385832552</c:v>
                </c:pt>
                <c:pt idx="216">
                  <c:v>205.23401277566055</c:v>
                </c:pt>
                <c:pt idx="217">
                  <c:v>204.46271053666484</c:v>
                </c:pt>
                <c:pt idx="218">
                  <c:v>204.08331631958552</c:v>
                </c:pt>
                <c:pt idx="219">
                  <c:v>203.33715843396652</c:v>
                </c:pt>
                <c:pt idx="220">
                  <c:v>203.54115063052976</c:v>
                </c:pt>
                <c:pt idx="221">
                  <c:v>202.8324431643025</c:v>
                </c:pt>
                <c:pt idx="222">
                  <c:v>202.48456731316588</c:v>
                </c:pt>
                <c:pt idx="223">
                  <c:v>201.8018830437417</c:v>
                </c:pt>
                <c:pt idx="224">
                  <c:v>202.08166665979377</c:v>
                </c:pt>
                <c:pt idx="225">
                  <c:v>201.43733516902967</c:v>
                </c:pt>
                <c:pt idx="226">
                  <c:v>201.76223630798702</c:v>
                </c:pt>
                <c:pt idx="227">
                  <c:v>200.8606482116395</c:v>
                </c:pt>
                <c:pt idx="228">
                  <c:v>201.24114887368339</c:v>
                </c:pt>
                <c:pt idx="229">
                  <c:v>200.4120754844877</c:v>
                </c:pt>
                <c:pt idx="230">
                  <c:v>199.88246546408217</c:v>
                </c:pt>
                <c:pt idx="231">
                  <c:v>200.09247861926244</c:v>
                </c:pt>
                <c:pt idx="232">
                  <c:v>199.6121238802894</c:v>
                </c:pt>
                <c:pt idx="233">
                  <c:v>198.70832896484234</c:v>
                </c:pt>
                <c:pt idx="234">
                  <c:v>198.49433241279209</c:v>
                </c:pt>
                <c:pt idx="235">
                  <c:v>198.08079159777205</c:v>
                </c:pt>
                <c:pt idx="236">
                  <c:v>197.88127753782064</c:v>
                </c:pt>
                <c:pt idx="237">
                  <c:v>196.51463049859672</c:v>
                </c:pt>
                <c:pt idx="238">
                  <c:v>196.14790337905731</c:v>
                </c:pt>
                <c:pt idx="239">
                  <c:v>195.16403357176239</c:v>
                </c:pt>
                <c:pt idx="240">
                  <c:v>195.16403357176239</c:v>
                </c:pt>
                <c:pt idx="241">
                  <c:v>194.36306233438492</c:v>
                </c:pt>
                <c:pt idx="242">
                  <c:v>194.36306233438492</c:v>
                </c:pt>
                <c:pt idx="243">
                  <c:v>193.56910910576616</c:v>
                </c:pt>
                <c:pt idx="244">
                  <c:v>192.58764238652489</c:v>
                </c:pt>
                <c:pt idx="245">
                  <c:v>191.60636732634956</c:v>
                </c:pt>
                <c:pt idx="246">
                  <c:v>191.60636732634956</c:v>
                </c:pt>
                <c:pt idx="247">
                  <c:v>190.62528688503002</c:v>
                </c:pt>
                <c:pt idx="248">
                  <c:v>190.62528688503002</c:v>
                </c:pt>
                <c:pt idx="249">
                  <c:v>189.64440408301004</c:v>
                </c:pt>
                <c:pt idx="250">
                  <c:v>189.64440408301004</c:v>
                </c:pt>
                <c:pt idx="251">
                  <c:v>188.47015678881365</c:v>
                </c:pt>
                <c:pt idx="252">
                  <c:v>188.47015678881365</c:v>
                </c:pt>
                <c:pt idx="253">
                  <c:v>188.47015678881365</c:v>
                </c:pt>
                <c:pt idx="254">
                  <c:v>187.68324379123459</c:v>
                </c:pt>
                <c:pt idx="255">
                  <c:v>187.88294228055935</c:v>
                </c:pt>
                <c:pt idx="256">
                  <c:v>187.1095935541521</c:v>
                </c:pt>
                <c:pt idx="257">
                  <c:v>187.32058082335749</c:v>
                </c:pt>
                <c:pt idx="258">
                  <c:v>187.32058082335749</c:v>
                </c:pt>
                <c:pt idx="259">
                  <c:v>186.34376834227646</c:v>
                </c:pt>
                <c:pt idx="260">
                  <c:v>186.34376834227646</c:v>
                </c:pt>
                <c:pt idx="261">
                  <c:v>186.34376834227646</c:v>
                </c:pt>
                <c:pt idx="262">
                  <c:v>186.34376834227646</c:v>
                </c:pt>
                <c:pt idx="263">
                  <c:v>185.58555978308226</c:v>
                </c:pt>
                <c:pt idx="264">
                  <c:v>185.58555978308226</c:v>
                </c:pt>
                <c:pt idx="265">
                  <c:v>185.58555978308226</c:v>
                </c:pt>
                <c:pt idx="266">
                  <c:v>184.83506160899236</c:v>
                </c:pt>
                <c:pt idx="267">
                  <c:v>185.06485349736184</c:v>
                </c:pt>
                <c:pt idx="268">
                  <c:v>185.06485349736184</c:v>
                </c:pt>
                <c:pt idx="269">
                  <c:v>184.83506160899236</c:v>
                </c:pt>
                <c:pt idx="270">
                  <c:v>183.86136081297778</c:v>
                </c:pt>
                <c:pt idx="271">
                  <c:v>183.86136081297778</c:v>
                </c:pt>
                <c:pt idx="272">
                  <c:v>183.86136081297778</c:v>
                </c:pt>
                <c:pt idx="273">
                  <c:v>182.8879438344693</c:v>
                </c:pt>
                <c:pt idx="274">
                  <c:v>182.6608879864543</c:v>
                </c:pt>
                <c:pt idx="275">
                  <c:v>181.68654325513489</c:v>
                </c:pt>
                <c:pt idx="276">
                  <c:v>181.46349495146399</c:v>
                </c:pt>
                <c:pt idx="277">
                  <c:v>181.46349495146399</c:v>
                </c:pt>
                <c:pt idx="278">
                  <c:v>180.05554698481245</c:v>
                </c:pt>
                <c:pt idx="279">
                  <c:v>180.05554698481245</c:v>
                </c:pt>
                <c:pt idx="280">
                  <c:v>180.05554698481245</c:v>
                </c:pt>
                <c:pt idx="281">
                  <c:v>178.53851125177448</c:v>
                </c:pt>
                <c:pt idx="282">
                  <c:v>178.37320426566319</c:v>
                </c:pt>
                <c:pt idx="283">
                  <c:v>179.20100446147057</c:v>
                </c:pt>
                <c:pt idx="284">
                  <c:v>179.20100446147057</c:v>
                </c:pt>
                <c:pt idx="285">
                  <c:v>178.2133552795637</c:v>
                </c:pt>
                <c:pt idx="286">
                  <c:v>178.37320426566319</c:v>
                </c:pt>
                <c:pt idx="287">
                  <c:v>178.53851125177448</c:v>
                </c:pt>
                <c:pt idx="288">
                  <c:v>178.70926109186397</c:v>
                </c:pt>
                <c:pt idx="289">
                  <c:v>178.70926109186397</c:v>
                </c:pt>
                <c:pt idx="290">
                  <c:v>178.70926109186397</c:v>
                </c:pt>
                <c:pt idx="291">
                  <c:v>178.70926109186397</c:v>
                </c:pt>
                <c:pt idx="292">
                  <c:v>178.70926109186397</c:v>
                </c:pt>
                <c:pt idx="293">
                  <c:v>178.70926109186397</c:v>
                </c:pt>
                <c:pt idx="294">
                  <c:v>178.88543819998318</c:v>
                </c:pt>
                <c:pt idx="295">
                  <c:v>179.86939706353607</c:v>
                </c:pt>
                <c:pt idx="296">
                  <c:v>179.86939706353607</c:v>
                </c:pt>
                <c:pt idx="297">
                  <c:v>179.6941846582688</c:v>
                </c:pt>
                <c:pt idx="298">
                  <c:v>180.5103875127412</c:v>
                </c:pt>
                <c:pt idx="299">
                  <c:v>180.34688796871433</c:v>
                </c:pt>
                <c:pt idx="300">
                  <c:v>180.18878988438766</c:v>
                </c:pt>
                <c:pt idx="301">
                  <c:v>180.87841220001906</c:v>
                </c:pt>
                <c:pt idx="302">
                  <c:v>180.60177186284747</c:v>
                </c:pt>
                <c:pt idx="303">
                  <c:v>180.34688796871433</c:v>
                </c:pt>
                <c:pt idx="304">
                  <c:v>180.1138528820035</c:v>
                </c:pt>
                <c:pt idx="305">
                  <c:v>180.89776118017602</c:v>
                </c:pt>
                <c:pt idx="306">
                  <c:v>180.70971196922429</c:v>
                </c:pt>
                <c:pt idx="307">
                  <c:v>180.54362353736008</c:v>
                </c:pt>
                <c:pt idx="308">
                  <c:v>180.39955654047489</c:v>
                </c:pt>
                <c:pt idx="309">
                  <c:v>180.27756377319946</c:v>
                </c:pt>
                <c:pt idx="310">
                  <c:v>180.22485955050706</c:v>
                </c:pt>
                <c:pt idx="311">
                  <c:v>180.17769007288334</c:v>
                </c:pt>
                <c:pt idx="312">
                  <c:v>180.13605968822566</c:v>
                </c:pt>
                <c:pt idx="313">
                  <c:v>180.13605968822566</c:v>
                </c:pt>
                <c:pt idx="314">
                  <c:v>180.13605968822566</c:v>
                </c:pt>
                <c:pt idx="315">
                  <c:v>180.17769007288334</c:v>
                </c:pt>
                <c:pt idx="316">
                  <c:v>180.17769007288334</c:v>
                </c:pt>
                <c:pt idx="317">
                  <c:v>180.17769007288334</c:v>
                </c:pt>
                <c:pt idx="318">
                  <c:v>180.17769007288334</c:v>
                </c:pt>
                <c:pt idx="319">
                  <c:v>180.17769007288334</c:v>
                </c:pt>
                <c:pt idx="320">
                  <c:v>180.22485955050706</c:v>
                </c:pt>
                <c:pt idx="321">
                  <c:v>180.22485955050706</c:v>
                </c:pt>
                <c:pt idx="322">
                  <c:v>180.17769007288334</c:v>
                </c:pt>
                <c:pt idx="323">
                  <c:v>179.13681921927719</c:v>
                </c:pt>
                <c:pt idx="324">
                  <c:v>179.10053042914194</c:v>
                </c:pt>
                <c:pt idx="325">
                  <c:v>179.06981878585793</c:v>
                </c:pt>
                <c:pt idx="326">
                  <c:v>178.04493814764857</c:v>
                </c:pt>
                <c:pt idx="327">
                  <c:v>178.04493814764857</c:v>
                </c:pt>
                <c:pt idx="328">
                  <c:v>178.04493814764857</c:v>
                </c:pt>
                <c:pt idx="329">
                  <c:v>178.04493814764857</c:v>
                </c:pt>
                <c:pt idx="330">
                  <c:v>177.02542190318317</c:v>
                </c:pt>
                <c:pt idx="331">
                  <c:v>177.02542190318317</c:v>
                </c:pt>
                <c:pt idx="332">
                  <c:v>177.02542190318317</c:v>
                </c:pt>
                <c:pt idx="333">
                  <c:v>176.0113632695344</c:v>
                </c:pt>
                <c:pt idx="334">
                  <c:v>176.0113632695344</c:v>
                </c:pt>
                <c:pt idx="335">
                  <c:v>176.0113632695344</c:v>
                </c:pt>
                <c:pt idx="336">
                  <c:v>175.0114281982751</c:v>
                </c:pt>
                <c:pt idx="337">
                  <c:v>175.0028571195339</c:v>
                </c:pt>
                <c:pt idx="338">
                  <c:v>175.0028571195339</c:v>
                </c:pt>
                <c:pt idx="339">
                  <c:v>175.0028571195339</c:v>
                </c:pt>
                <c:pt idx="340">
                  <c:v>174.00287353949071</c:v>
                </c:pt>
                <c:pt idx="341">
                  <c:v>174.00287353949071</c:v>
                </c:pt>
                <c:pt idx="342">
                  <c:v>174.00287353949071</c:v>
                </c:pt>
                <c:pt idx="343">
                  <c:v>174</c:v>
                </c:pt>
                <c:pt idx="344">
                  <c:v>174</c:v>
                </c:pt>
                <c:pt idx="345">
                  <c:v>173</c:v>
                </c:pt>
                <c:pt idx="346">
                  <c:v>173</c:v>
                </c:pt>
                <c:pt idx="347">
                  <c:v>173</c:v>
                </c:pt>
                <c:pt idx="348">
                  <c:v>173</c:v>
                </c:pt>
                <c:pt idx="349">
                  <c:v>173</c:v>
                </c:pt>
                <c:pt idx="350">
                  <c:v>173</c:v>
                </c:pt>
                <c:pt idx="351">
                  <c:v>173</c:v>
                </c:pt>
                <c:pt idx="352">
                  <c:v>173.00289014926889</c:v>
                </c:pt>
                <c:pt idx="353">
                  <c:v>173.01156030739679</c:v>
                </c:pt>
                <c:pt idx="354">
                  <c:v>173.01156030739679</c:v>
                </c:pt>
                <c:pt idx="355">
                  <c:v>172.02616080119907</c:v>
                </c:pt>
                <c:pt idx="356">
                  <c:v>172.04650534085255</c:v>
                </c:pt>
                <c:pt idx="357">
                  <c:v>172.04650534085255</c:v>
                </c:pt>
                <c:pt idx="358">
                  <c:v>172.04650534085255</c:v>
                </c:pt>
                <c:pt idx="359">
                  <c:v>171.02631376487071</c:v>
                </c:pt>
                <c:pt idx="360">
                  <c:v>171.02631376487071</c:v>
                </c:pt>
                <c:pt idx="361">
                  <c:v>170.02646852769718</c:v>
                </c:pt>
                <c:pt idx="362">
                  <c:v>170.02646852769718</c:v>
                </c:pt>
                <c:pt idx="363">
                  <c:v>169.0266251216062</c:v>
                </c:pt>
                <c:pt idx="364">
                  <c:v>169.0266251216062</c:v>
                </c:pt>
                <c:pt idx="365">
                  <c:v>168.04761230080004</c:v>
                </c:pt>
                <c:pt idx="366">
                  <c:v>168.04761230080004</c:v>
                </c:pt>
                <c:pt idx="367">
                  <c:v>168.02678357928536</c:v>
                </c:pt>
                <c:pt idx="368">
                  <c:v>168.02678357928536</c:v>
                </c:pt>
                <c:pt idx="369">
                  <c:v>168.02678357928536</c:v>
                </c:pt>
                <c:pt idx="370">
                  <c:v>168.02678357928536</c:v>
                </c:pt>
                <c:pt idx="371">
                  <c:v>168.02678357928536</c:v>
                </c:pt>
                <c:pt idx="372">
                  <c:v>169.0266251216062</c:v>
                </c:pt>
                <c:pt idx="373">
                  <c:v>169.04733065032408</c:v>
                </c:pt>
                <c:pt idx="374">
                  <c:v>170.04705231199981</c:v>
                </c:pt>
                <c:pt idx="375">
                  <c:v>170.04705231199981</c:v>
                </c:pt>
                <c:pt idx="376">
                  <c:v>170.07351351694948</c:v>
                </c:pt>
                <c:pt idx="377">
                  <c:v>171.10523077919038</c:v>
                </c:pt>
                <c:pt idx="378">
                  <c:v>171.10523077919038</c:v>
                </c:pt>
                <c:pt idx="379">
                  <c:v>172.10461934532728</c:v>
                </c:pt>
                <c:pt idx="380">
                  <c:v>172.10461934532728</c:v>
                </c:pt>
                <c:pt idx="381">
                  <c:v>172.10461934532728</c:v>
                </c:pt>
                <c:pt idx="382">
                  <c:v>172.10461934532728</c:v>
                </c:pt>
                <c:pt idx="383">
                  <c:v>171.04677722775136</c:v>
                </c:pt>
                <c:pt idx="384">
                  <c:v>171.02631376487071</c:v>
                </c:pt>
                <c:pt idx="385">
                  <c:v>171.02631376487071</c:v>
                </c:pt>
                <c:pt idx="386">
                  <c:v>170.02646852769718</c:v>
                </c:pt>
                <c:pt idx="387">
                  <c:v>170.02646852769718</c:v>
                </c:pt>
                <c:pt idx="388">
                  <c:v>169.0266251216062</c:v>
                </c:pt>
                <c:pt idx="389">
                  <c:v>169.0266251216062</c:v>
                </c:pt>
                <c:pt idx="390">
                  <c:v>169.0266251216062</c:v>
                </c:pt>
                <c:pt idx="391">
                  <c:v>169.00295855398508</c:v>
                </c:pt>
                <c:pt idx="392">
                  <c:v>169.00295855398508</c:v>
                </c:pt>
                <c:pt idx="393">
                  <c:v>169.00295855398508</c:v>
                </c:pt>
                <c:pt idx="394">
                  <c:v>169.00295855398508</c:v>
                </c:pt>
                <c:pt idx="395">
                  <c:v>169.00295855398508</c:v>
                </c:pt>
                <c:pt idx="396">
                  <c:v>169.00295855398508</c:v>
                </c:pt>
                <c:pt idx="397">
                  <c:v>169.00295855398508</c:v>
                </c:pt>
                <c:pt idx="398">
                  <c:v>168.01190434013895</c:v>
                </c:pt>
                <c:pt idx="399">
                  <c:v>168.01190434013895</c:v>
                </c:pt>
                <c:pt idx="400">
                  <c:v>168.02678357928536</c:v>
                </c:pt>
                <c:pt idx="401">
                  <c:v>167.02694393420481</c:v>
                </c:pt>
                <c:pt idx="402">
                  <c:v>167.04789732289359</c:v>
                </c:pt>
                <c:pt idx="403">
                  <c:v>165.07574019219177</c:v>
                </c:pt>
                <c:pt idx="404">
                  <c:v>164.07620180879371</c:v>
                </c:pt>
                <c:pt idx="405">
                  <c:v>164.07620180879371</c:v>
                </c:pt>
                <c:pt idx="406">
                  <c:v>162.07714212682799</c:v>
                </c:pt>
                <c:pt idx="407">
                  <c:v>162.07714212682799</c:v>
                </c:pt>
                <c:pt idx="408">
                  <c:v>162.07714212682799</c:v>
                </c:pt>
                <c:pt idx="409">
                  <c:v>160.07810593582121</c:v>
                </c:pt>
                <c:pt idx="410">
                  <c:v>160.07810593582121</c:v>
                </c:pt>
                <c:pt idx="411">
                  <c:v>159.05030650709227</c:v>
                </c:pt>
                <c:pt idx="412">
                  <c:v>159.05030650709227</c:v>
                </c:pt>
                <c:pt idx="413">
                  <c:v>158.02847844613325</c:v>
                </c:pt>
                <c:pt idx="414">
                  <c:v>157.05094714773293</c:v>
                </c:pt>
                <c:pt idx="415">
                  <c:v>157.05094714773293</c:v>
                </c:pt>
                <c:pt idx="416">
                  <c:v>157.02865980450829</c:v>
                </c:pt>
                <c:pt idx="417">
                  <c:v>157.00318468107582</c:v>
                </c:pt>
                <c:pt idx="418">
                  <c:v>157.00318468107582</c:v>
                </c:pt>
                <c:pt idx="419">
                  <c:v>157.00318468107582</c:v>
                </c:pt>
                <c:pt idx="420">
                  <c:v>156.00320509528001</c:v>
                </c:pt>
                <c:pt idx="421">
                  <c:v>151.08275877809487</c:v>
                </c:pt>
                <c:pt idx="422">
                  <c:v>151.08275877809487</c:v>
                </c:pt>
                <c:pt idx="423">
                  <c:v>150.05332385522155</c:v>
                </c:pt>
                <c:pt idx="424">
                  <c:v>149.05368160498418</c:v>
                </c:pt>
                <c:pt idx="425">
                  <c:v>149.03019828209315</c:v>
                </c:pt>
                <c:pt idx="426">
                  <c:v>149.03019828209315</c:v>
                </c:pt>
                <c:pt idx="427">
                  <c:v>150.02999700059985</c:v>
                </c:pt>
                <c:pt idx="428">
                  <c:v>150.02999700059985</c:v>
                </c:pt>
                <c:pt idx="429">
                  <c:v>150.0133327407934</c:v>
                </c:pt>
                <c:pt idx="430">
                  <c:v>151.00331122197287</c:v>
                </c:pt>
                <c:pt idx="431">
                  <c:v>151.00331122197287</c:v>
                </c:pt>
                <c:pt idx="432">
                  <c:v>151.00331122197287</c:v>
                </c:pt>
                <c:pt idx="433">
                  <c:v>151.01324445226649</c:v>
                </c:pt>
                <c:pt idx="434">
                  <c:v>151.01324445226649</c:v>
                </c:pt>
                <c:pt idx="435">
                  <c:v>151.02979838429235</c:v>
                </c:pt>
                <c:pt idx="436">
                  <c:v>151.05297084135751</c:v>
                </c:pt>
                <c:pt idx="437">
                  <c:v>151.08275877809487</c:v>
                </c:pt>
                <c:pt idx="438">
                  <c:v>150.21318184500319</c:v>
                </c:pt>
                <c:pt idx="439">
                  <c:v>150.26975743641833</c:v>
                </c:pt>
                <c:pt idx="440">
                  <c:v>149.4824404403407</c:v>
                </c:pt>
                <c:pt idx="441">
                  <c:v>148.66068747318505</c:v>
                </c:pt>
                <c:pt idx="442">
                  <c:v>148.66068747318505</c:v>
                </c:pt>
                <c:pt idx="443">
                  <c:v>148.75819305167698</c:v>
                </c:pt>
                <c:pt idx="444">
                  <c:v>147.97972834141845</c:v>
                </c:pt>
                <c:pt idx="445">
                  <c:v>147.23111084278349</c:v>
                </c:pt>
                <c:pt idx="446">
                  <c:v>146.65946952038249</c:v>
                </c:pt>
                <c:pt idx="447">
                  <c:v>145.98630072715727</c:v>
                </c:pt>
                <c:pt idx="448">
                  <c:v>145.71547618561317</c:v>
                </c:pt>
                <c:pt idx="449">
                  <c:v>144.58561477546789</c:v>
                </c:pt>
                <c:pt idx="450">
                  <c:v>143.84018909887459</c:v>
                </c:pt>
                <c:pt idx="451">
                  <c:v>142.33762678926468</c:v>
                </c:pt>
                <c:pt idx="452">
                  <c:v>142.00352108310554</c:v>
                </c:pt>
                <c:pt idx="453">
                  <c:v>140.38874598770374</c:v>
                </c:pt>
                <c:pt idx="454">
                  <c:v>139.61733416735902</c:v>
                </c:pt>
                <c:pt idx="455">
                  <c:v>140.43147795277241</c:v>
                </c:pt>
                <c:pt idx="456">
                  <c:v>139.67104209534631</c:v>
                </c:pt>
                <c:pt idx="457">
                  <c:v>138.23168956501979</c:v>
                </c:pt>
                <c:pt idx="458">
                  <c:v>137.84411485442533</c:v>
                </c:pt>
                <c:pt idx="459">
                  <c:v>137.63720427268203</c:v>
                </c:pt>
                <c:pt idx="460">
                  <c:v>136.40014662748717</c:v>
                </c:pt>
                <c:pt idx="461">
                  <c:v>135.2479205015737</c:v>
                </c:pt>
                <c:pt idx="462">
                  <c:v>134.18271125595876</c:v>
                </c:pt>
                <c:pt idx="463">
                  <c:v>133.2066064427737</c:v>
                </c:pt>
                <c:pt idx="464">
                  <c:v>132.32157798333574</c:v>
                </c:pt>
                <c:pt idx="465">
                  <c:v>130.81666560496029</c:v>
                </c:pt>
                <c:pt idx="466">
                  <c:v>130.13838787997952</c:v>
                </c:pt>
                <c:pt idx="467">
                  <c:v>128.8875478857442</c:v>
                </c:pt>
                <c:pt idx="468">
                  <c:v>127.7810627597063</c:v>
                </c:pt>
                <c:pt idx="469">
                  <c:v>126.65701717630967</c:v>
                </c:pt>
                <c:pt idx="470">
                  <c:v>126.40015822774906</c:v>
                </c:pt>
                <c:pt idx="471">
                  <c:v>125.4312560727987</c:v>
                </c:pt>
                <c:pt idx="472">
                  <c:v>125.09996003196804</c:v>
                </c:pt>
                <c:pt idx="473">
                  <c:v>124.25779653607253</c:v>
                </c:pt>
                <c:pt idx="474">
                  <c:v>124.86793023030373</c:v>
                </c:pt>
                <c:pt idx="475">
                  <c:v>123.82245353731285</c:v>
                </c:pt>
                <c:pt idx="476">
                  <c:v>123.664869708418</c:v>
                </c:pt>
                <c:pt idx="477">
                  <c:v>123.06502346320826</c:v>
                </c:pt>
                <c:pt idx="478">
                  <c:v>123.43419299367578</c:v>
                </c:pt>
                <c:pt idx="479">
                  <c:v>123.00406497347964</c:v>
                </c:pt>
                <c:pt idx="480">
                  <c:v>123.48279232346505</c:v>
                </c:pt>
                <c:pt idx="481">
                  <c:v>123.5677951571525</c:v>
                </c:pt>
                <c:pt idx="482">
                  <c:v>123.16655390161731</c:v>
                </c:pt>
                <c:pt idx="483">
                  <c:v>122.7721466783081</c:v>
                </c:pt>
                <c:pt idx="484">
                  <c:v>122.7721466783081</c:v>
                </c:pt>
                <c:pt idx="485">
                  <c:v>122.7721466783081</c:v>
                </c:pt>
                <c:pt idx="486">
                  <c:v>122.7721466783081</c:v>
                </c:pt>
                <c:pt idx="487">
                  <c:v>122.7721466783081</c:v>
                </c:pt>
                <c:pt idx="488">
                  <c:v>122.38463955905577</c:v>
                </c:pt>
                <c:pt idx="489">
                  <c:v>121.46192819151193</c:v>
                </c:pt>
                <c:pt idx="490">
                  <c:v>121.46192819151193</c:v>
                </c:pt>
                <c:pt idx="491">
                  <c:v>121.46192819151193</c:v>
                </c:pt>
                <c:pt idx="492">
                  <c:v>121.46192819151193</c:v>
                </c:pt>
                <c:pt idx="493">
                  <c:v>121.07848694132248</c:v>
                </c:pt>
                <c:pt idx="494">
                  <c:v>122.00409829181969</c:v>
                </c:pt>
                <c:pt idx="495">
                  <c:v>122.00409829181969</c:v>
                </c:pt>
                <c:pt idx="496">
                  <c:v>121.63058825805291</c:v>
                </c:pt>
                <c:pt idx="497">
                  <c:v>120.90492132250036</c:v>
                </c:pt>
                <c:pt idx="498">
                  <c:v>119.87076374162301</c:v>
                </c:pt>
                <c:pt idx="499">
                  <c:v>119.21828718783037</c:v>
                </c:pt>
                <c:pt idx="500">
                  <c:v>118.59595271340417</c:v>
                </c:pt>
                <c:pt idx="501">
                  <c:v>118.00423721205946</c:v>
                </c:pt>
                <c:pt idx="502">
                  <c:v>117.44360348695028</c:v>
                </c:pt>
                <c:pt idx="503">
                  <c:v>117.17508267545622</c:v>
                </c:pt>
                <c:pt idx="504">
                  <c:v>115.69356075426151</c:v>
                </c:pt>
                <c:pt idx="505">
                  <c:v>114.97825881443848</c:v>
                </c:pt>
                <c:pt idx="506">
                  <c:v>114.97825881443848</c:v>
                </c:pt>
                <c:pt idx="507">
                  <c:v>114.75626344561765</c:v>
                </c:pt>
                <c:pt idx="508">
                  <c:v>113.35784048754634</c:v>
                </c:pt>
                <c:pt idx="509">
                  <c:v>112.96902230257638</c:v>
                </c:pt>
                <c:pt idx="510">
                  <c:v>112.61438629233834</c:v>
                </c:pt>
                <c:pt idx="511">
                  <c:v>112.44998888394787</c:v>
                </c:pt>
                <c:pt idx="512">
                  <c:v>112.29425630903836</c:v>
                </c:pt>
                <c:pt idx="513">
                  <c:v>112.14722466472365</c:v>
                </c:pt>
                <c:pt idx="514">
                  <c:v>112.00892821556681</c:v>
                </c:pt>
                <c:pt idx="515">
                  <c:v>110.8873302050329</c:v>
                </c:pt>
                <c:pt idx="516">
                  <c:v>111.64676439557037</c:v>
                </c:pt>
                <c:pt idx="517">
                  <c:v>111.44954015158609</c:v>
                </c:pt>
                <c:pt idx="518">
                  <c:v>111.36426715962351</c:v>
                </c:pt>
                <c:pt idx="519">
                  <c:v>111.36426715962351</c:v>
                </c:pt>
                <c:pt idx="520">
                  <c:v>112.28535078094559</c:v>
                </c:pt>
                <c:pt idx="521">
                  <c:v>113.1591799192624</c:v>
                </c:pt>
                <c:pt idx="522">
                  <c:v>114.0701538527936</c:v>
                </c:pt>
                <c:pt idx="523">
                  <c:v>114.03946685248927</c:v>
                </c:pt>
                <c:pt idx="524">
                  <c:v>114.00438588054409</c:v>
                </c:pt>
                <c:pt idx="525">
                  <c:v>115.0173899895142</c:v>
                </c:pt>
                <c:pt idx="526">
                  <c:v>114.0701538527936</c:v>
                </c:pt>
                <c:pt idx="527">
                  <c:v>114.10959644131601</c:v>
                </c:pt>
                <c:pt idx="528">
                  <c:v>114.15778554264269</c:v>
                </c:pt>
                <c:pt idx="529">
                  <c:v>114.15778554264269</c:v>
                </c:pt>
                <c:pt idx="530">
                  <c:v>114.0701538527936</c:v>
                </c:pt>
                <c:pt idx="531">
                  <c:v>113.03981599418853</c:v>
                </c:pt>
                <c:pt idx="532">
                  <c:v>113.01769772916099</c:v>
                </c:pt>
                <c:pt idx="533">
                  <c:v>112.01785571952357</c:v>
                </c:pt>
                <c:pt idx="534">
                  <c:v>112.04017136723775</c:v>
                </c:pt>
                <c:pt idx="535">
                  <c:v>112.04017136723775</c:v>
                </c:pt>
                <c:pt idx="536">
                  <c:v>112.04017136723775</c:v>
                </c:pt>
                <c:pt idx="537">
                  <c:v>112.01785571952357</c:v>
                </c:pt>
                <c:pt idx="538">
                  <c:v>111.01801655587259</c:v>
                </c:pt>
                <c:pt idx="539">
                  <c:v>112.01785571952357</c:v>
                </c:pt>
                <c:pt idx="540">
                  <c:v>112.01785571952357</c:v>
                </c:pt>
                <c:pt idx="541">
                  <c:v>112.04017136723775</c:v>
                </c:pt>
                <c:pt idx="542">
                  <c:v>112.04017136723775</c:v>
                </c:pt>
                <c:pt idx="543">
                  <c:v>112.0714058089752</c:v>
                </c:pt>
                <c:pt idx="544">
                  <c:v>112.0714058089752</c:v>
                </c:pt>
                <c:pt idx="545">
                  <c:v>112.0714058089752</c:v>
                </c:pt>
                <c:pt idx="546">
                  <c:v>113.11056537742175</c:v>
                </c:pt>
                <c:pt idx="547">
                  <c:v>113.1591799192624</c:v>
                </c:pt>
                <c:pt idx="548">
                  <c:v>113.1591799192624</c:v>
                </c:pt>
                <c:pt idx="549">
                  <c:v>113.11056537742175</c:v>
                </c:pt>
                <c:pt idx="550">
                  <c:v>113.07077429645558</c:v>
                </c:pt>
                <c:pt idx="551">
                  <c:v>114.0701538527936</c:v>
                </c:pt>
                <c:pt idx="552">
                  <c:v>114.0701538527936</c:v>
                </c:pt>
                <c:pt idx="553">
                  <c:v>114.0701538527936</c:v>
                </c:pt>
                <c:pt idx="554">
                  <c:v>114.0701538527936</c:v>
                </c:pt>
                <c:pt idx="555">
                  <c:v>114.10959644131601</c:v>
                </c:pt>
                <c:pt idx="556">
                  <c:v>114.10959644131601</c:v>
                </c:pt>
                <c:pt idx="557">
                  <c:v>114.15778554264269</c:v>
                </c:pt>
                <c:pt idx="558">
                  <c:v>114.15778554264269</c:v>
                </c:pt>
                <c:pt idx="559">
                  <c:v>114.10959644131601</c:v>
                </c:pt>
                <c:pt idx="560">
                  <c:v>114.10959644131601</c:v>
                </c:pt>
                <c:pt idx="561">
                  <c:v>114.0701538527936</c:v>
                </c:pt>
                <c:pt idx="562">
                  <c:v>114.03946685248927</c:v>
                </c:pt>
                <c:pt idx="563">
                  <c:v>113.03981599418853</c:v>
                </c:pt>
                <c:pt idx="564">
                  <c:v>113.07077429645558</c:v>
                </c:pt>
                <c:pt idx="565">
                  <c:v>113.07077429645558</c:v>
                </c:pt>
                <c:pt idx="566">
                  <c:v>114.10959644131601</c:v>
                </c:pt>
                <c:pt idx="567">
                  <c:v>114.10959644131601</c:v>
                </c:pt>
                <c:pt idx="568">
                  <c:v>114.10959644131601</c:v>
                </c:pt>
                <c:pt idx="569">
                  <c:v>114.10959644131601</c:v>
                </c:pt>
                <c:pt idx="570">
                  <c:v>114.0701538527936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B28-4D4E-A1B4-27011A821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6768960"/>
        <c:axId val="1666768000"/>
      </c:scatterChart>
      <c:valAx>
        <c:axId val="1666768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Elapsed time (seconds)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6768000"/>
        <c:crosses val="autoZero"/>
        <c:crossBetween val="midCat"/>
        <c:majorUnit val="50"/>
      </c:valAx>
      <c:valAx>
        <c:axId val="1666768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knots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6768960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'20230211_A7C771_507513747_ADSB_'!$BB$1</c:f>
              <c:strCache>
                <c:ptCount val="1"/>
                <c:pt idx="0">
                  <c:v>sqrt(sum)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'20230211_A7C771_507513747_ADSB_'!$E$2:$E$573</c:f>
              <c:strCache>
                <c:ptCount val="572"/>
                <c:pt idx="0">
                  <c:v>Time (fmt change)</c:v>
                </c:pt>
                <c:pt idx="1">
                  <c:v>17:40:00.0</c:v>
                </c:pt>
                <c:pt idx="2">
                  <c:v>17:40:01.2</c:v>
                </c:pt>
                <c:pt idx="3">
                  <c:v>17:40:01.9</c:v>
                </c:pt>
                <c:pt idx="4">
                  <c:v>17:40:03.3</c:v>
                </c:pt>
                <c:pt idx="5">
                  <c:v>17:40:04.4</c:v>
                </c:pt>
                <c:pt idx="6">
                  <c:v>17:40:05.4</c:v>
                </c:pt>
                <c:pt idx="7">
                  <c:v>17:40:06.3</c:v>
                </c:pt>
                <c:pt idx="8">
                  <c:v>17:40:07.3</c:v>
                </c:pt>
                <c:pt idx="9">
                  <c:v>17:40:08.4</c:v>
                </c:pt>
                <c:pt idx="10">
                  <c:v>17:40:09.4</c:v>
                </c:pt>
                <c:pt idx="11">
                  <c:v>17:40:11.7</c:v>
                </c:pt>
                <c:pt idx="12">
                  <c:v>17:40:12.6</c:v>
                </c:pt>
                <c:pt idx="13">
                  <c:v>17:40:13.7</c:v>
                </c:pt>
                <c:pt idx="14">
                  <c:v>17:40:14.6</c:v>
                </c:pt>
                <c:pt idx="15">
                  <c:v>17:40:15.4</c:v>
                </c:pt>
                <c:pt idx="16">
                  <c:v>17:40:16.5</c:v>
                </c:pt>
                <c:pt idx="17">
                  <c:v>17:40:17.5</c:v>
                </c:pt>
                <c:pt idx="18">
                  <c:v>17:40:18.4</c:v>
                </c:pt>
                <c:pt idx="19">
                  <c:v>17:40:19.3</c:v>
                </c:pt>
                <c:pt idx="20">
                  <c:v>17:40:20.4</c:v>
                </c:pt>
                <c:pt idx="21">
                  <c:v>17:40:21.4</c:v>
                </c:pt>
                <c:pt idx="22">
                  <c:v>17:40:22.6</c:v>
                </c:pt>
                <c:pt idx="23">
                  <c:v>17:40:23.6</c:v>
                </c:pt>
                <c:pt idx="24">
                  <c:v>17:40:24.6</c:v>
                </c:pt>
                <c:pt idx="25">
                  <c:v>17:40:25.5</c:v>
                </c:pt>
                <c:pt idx="26">
                  <c:v>17:40:26.4</c:v>
                </c:pt>
                <c:pt idx="27">
                  <c:v>17:40:27.6</c:v>
                </c:pt>
                <c:pt idx="28">
                  <c:v>17:40:28.5</c:v>
                </c:pt>
                <c:pt idx="29">
                  <c:v>17:40:29.7</c:v>
                </c:pt>
                <c:pt idx="30">
                  <c:v>17:40:30.7</c:v>
                </c:pt>
                <c:pt idx="31">
                  <c:v>17:40:31.8</c:v>
                </c:pt>
                <c:pt idx="32">
                  <c:v>17:40:32.7</c:v>
                </c:pt>
                <c:pt idx="33">
                  <c:v>17:40:33.6</c:v>
                </c:pt>
                <c:pt idx="34">
                  <c:v>17:40:34.7</c:v>
                </c:pt>
                <c:pt idx="35">
                  <c:v>17:40:35.8</c:v>
                </c:pt>
                <c:pt idx="36">
                  <c:v>17:40:36.7</c:v>
                </c:pt>
                <c:pt idx="37">
                  <c:v>17:40:37.6</c:v>
                </c:pt>
                <c:pt idx="38">
                  <c:v>17:40:38.6</c:v>
                </c:pt>
                <c:pt idx="39">
                  <c:v>17:40:52.1</c:v>
                </c:pt>
                <c:pt idx="40">
                  <c:v>17:40:53.3</c:v>
                </c:pt>
                <c:pt idx="41">
                  <c:v>17:40:54.4</c:v>
                </c:pt>
                <c:pt idx="42">
                  <c:v>17:40:55.3</c:v>
                </c:pt>
                <c:pt idx="43">
                  <c:v>17:40:56.1</c:v>
                </c:pt>
                <c:pt idx="44">
                  <c:v>17:40:57.1</c:v>
                </c:pt>
                <c:pt idx="45">
                  <c:v>17:40:58.2</c:v>
                </c:pt>
                <c:pt idx="46">
                  <c:v>17:40:59.3</c:v>
                </c:pt>
                <c:pt idx="47">
                  <c:v>17:41:00.2</c:v>
                </c:pt>
                <c:pt idx="48">
                  <c:v>17:41:01.4</c:v>
                </c:pt>
                <c:pt idx="49">
                  <c:v>17:41:02.3</c:v>
                </c:pt>
                <c:pt idx="50">
                  <c:v>17:41:03.3</c:v>
                </c:pt>
                <c:pt idx="51">
                  <c:v>17:41:04.4</c:v>
                </c:pt>
                <c:pt idx="52">
                  <c:v>17:41:05.3</c:v>
                </c:pt>
                <c:pt idx="53">
                  <c:v>17:41:06.4</c:v>
                </c:pt>
                <c:pt idx="54">
                  <c:v>17:41:07.1</c:v>
                </c:pt>
                <c:pt idx="55">
                  <c:v>17:41:08.2</c:v>
                </c:pt>
                <c:pt idx="56">
                  <c:v>17:41:09.2</c:v>
                </c:pt>
                <c:pt idx="57">
                  <c:v>17:41:10.1</c:v>
                </c:pt>
                <c:pt idx="58">
                  <c:v>17:41:11.1</c:v>
                </c:pt>
                <c:pt idx="59">
                  <c:v>17:41:12.1</c:v>
                </c:pt>
                <c:pt idx="60">
                  <c:v>17:41:13.1</c:v>
                </c:pt>
                <c:pt idx="61">
                  <c:v>17:41:14.0</c:v>
                </c:pt>
                <c:pt idx="62">
                  <c:v>17:41:15.0</c:v>
                </c:pt>
                <c:pt idx="63">
                  <c:v>17:41:15.9</c:v>
                </c:pt>
                <c:pt idx="64">
                  <c:v>17:41:17.0</c:v>
                </c:pt>
                <c:pt idx="65">
                  <c:v>17:41:18.2</c:v>
                </c:pt>
                <c:pt idx="66">
                  <c:v>17:41:19.0</c:v>
                </c:pt>
                <c:pt idx="67">
                  <c:v>17:41:20.7</c:v>
                </c:pt>
                <c:pt idx="68">
                  <c:v>17:41:21.8</c:v>
                </c:pt>
                <c:pt idx="69">
                  <c:v>17:41:22.7</c:v>
                </c:pt>
                <c:pt idx="70">
                  <c:v>17:41:23.7</c:v>
                </c:pt>
                <c:pt idx="71">
                  <c:v>17:41:24.7</c:v>
                </c:pt>
                <c:pt idx="72">
                  <c:v>17:41:25.7</c:v>
                </c:pt>
                <c:pt idx="73">
                  <c:v>17:41:26.6</c:v>
                </c:pt>
                <c:pt idx="74">
                  <c:v>17:41:27.5</c:v>
                </c:pt>
                <c:pt idx="75">
                  <c:v>17:41:28.5</c:v>
                </c:pt>
                <c:pt idx="76">
                  <c:v>17:41:29.7</c:v>
                </c:pt>
                <c:pt idx="77">
                  <c:v>17:41:30.4</c:v>
                </c:pt>
                <c:pt idx="78">
                  <c:v>17:41:31.5</c:v>
                </c:pt>
                <c:pt idx="79">
                  <c:v>17:41:32.4</c:v>
                </c:pt>
                <c:pt idx="80">
                  <c:v>17:41:33.4</c:v>
                </c:pt>
                <c:pt idx="81">
                  <c:v>17:41:34.4</c:v>
                </c:pt>
                <c:pt idx="82">
                  <c:v>17:41:35.6</c:v>
                </c:pt>
                <c:pt idx="83">
                  <c:v>17:41:36.4</c:v>
                </c:pt>
                <c:pt idx="84">
                  <c:v>17:41:37.5</c:v>
                </c:pt>
                <c:pt idx="85">
                  <c:v>17:41:38.5</c:v>
                </c:pt>
                <c:pt idx="86">
                  <c:v>17:41:39.5</c:v>
                </c:pt>
                <c:pt idx="87">
                  <c:v>17:41:40.5</c:v>
                </c:pt>
                <c:pt idx="88">
                  <c:v>17:41:41.5</c:v>
                </c:pt>
                <c:pt idx="89">
                  <c:v>17:41:42.5</c:v>
                </c:pt>
                <c:pt idx="90">
                  <c:v>17:41:43.5</c:v>
                </c:pt>
                <c:pt idx="91">
                  <c:v>17:41:44.4</c:v>
                </c:pt>
                <c:pt idx="92">
                  <c:v>17:41:45.3</c:v>
                </c:pt>
                <c:pt idx="93">
                  <c:v>17:41:46.2</c:v>
                </c:pt>
                <c:pt idx="94">
                  <c:v>17:41:47.5</c:v>
                </c:pt>
                <c:pt idx="95">
                  <c:v>17:41:49.1</c:v>
                </c:pt>
                <c:pt idx="96">
                  <c:v>17:41:50.2</c:v>
                </c:pt>
                <c:pt idx="97">
                  <c:v>17:41:51.2</c:v>
                </c:pt>
                <c:pt idx="98">
                  <c:v>17:41:52.3</c:v>
                </c:pt>
                <c:pt idx="99">
                  <c:v>17:41:53.3</c:v>
                </c:pt>
                <c:pt idx="100">
                  <c:v>17:41:54.4</c:v>
                </c:pt>
                <c:pt idx="101">
                  <c:v>17:41:55.4</c:v>
                </c:pt>
                <c:pt idx="102">
                  <c:v>17:41:56.4</c:v>
                </c:pt>
                <c:pt idx="103">
                  <c:v>17:41:57.4</c:v>
                </c:pt>
                <c:pt idx="104">
                  <c:v>17:41:58.5</c:v>
                </c:pt>
                <c:pt idx="105">
                  <c:v>17:41:59.4</c:v>
                </c:pt>
                <c:pt idx="106">
                  <c:v>17:42:00.4</c:v>
                </c:pt>
                <c:pt idx="107">
                  <c:v>17:42:01.3</c:v>
                </c:pt>
                <c:pt idx="108">
                  <c:v>17:42:02.3</c:v>
                </c:pt>
                <c:pt idx="109">
                  <c:v>17:42:03.4</c:v>
                </c:pt>
                <c:pt idx="110">
                  <c:v>17:42:04.6</c:v>
                </c:pt>
                <c:pt idx="111">
                  <c:v>17:42:05.3</c:v>
                </c:pt>
                <c:pt idx="112">
                  <c:v>17:42:06.4</c:v>
                </c:pt>
                <c:pt idx="113">
                  <c:v>17:42:07.5</c:v>
                </c:pt>
                <c:pt idx="114">
                  <c:v>17:42:08.6</c:v>
                </c:pt>
                <c:pt idx="115">
                  <c:v>17:42:09.6</c:v>
                </c:pt>
                <c:pt idx="116">
                  <c:v>17:42:10.6</c:v>
                </c:pt>
                <c:pt idx="117">
                  <c:v>17:42:11.8</c:v>
                </c:pt>
                <c:pt idx="118">
                  <c:v>17:42:12.6</c:v>
                </c:pt>
                <c:pt idx="119">
                  <c:v>17:42:13.5</c:v>
                </c:pt>
                <c:pt idx="120">
                  <c:v>17:42:14.6</c:v>
                </c:pt>
                <c:pt idx="121">
                  <c:v>17:42:15.6</c:v>
                </c:pt>
                <c:pt idx="122">
                  <c:v>17:42:16.6</c:v>
                </c:pt>
                <c:pt idx="123">
                  <c:v>17:42:17.5</c:v>
                </c:pt>
                <c:pt idx="124">
                  <c:v>17:42:18.4</c:v>
                </c:pt>
                <c:pt idx="125">
                  <c:v>17:42:19.5</c:v>
                </c:pt>
                <c:pt idx="126">
                  <c:v>17:42:20.5</c:v>
                </c:pt>
                <c:pt idx="127">
                  <c:v>17:42:21.6</c:v>
                </c:pt>
                <c:pt idx="128">
                  <c:v>17:42:22.7</c:v>
                </c:pt>
                <c:pt idx="129">
                  <c:v>17:42:23.5</c:v>
                </c:pt>
                <c:pt idx="130">
                  <c:v>17:42:24.6</c:v>
                </c:pt>
                <c:pt idx="131">
                  <c:v>17:42:25.5</c:v>
                </c:pt>
                <c:pt idx="132">
                  <c:v>17:42:26.6</c:v>
                </c:pt>
                <c:pt idx="133">
                  <c:v>17:42:27.6</c:v>
                </c:pt>
                <c:pt idx="134">
                  <c:v>17:42:28.6</c:v>
                </c:pt>
                <c:pt idx="135">
                  <c:v>17:42:29.8</c:v>
                </c:pt>
                <c:pt idx="136">
                  <c:v>17:42:30.6</c:v>
                </c:pt>
                <c:pt idx="137">
                  <c:v>17:42:31.8</c:v>
                </c:pt>
                <c:pt idx="138">
                  <c:v>17:42:32.7</c:v>
                </c:pt>
                <c:pt idx="139">
                  <c:v>17:42:33.7</c:v>
                </c:pt>
                <c:pt idx="140">
                  <c:v>17:42:34.9</c:v>
                </c:pt>
                <c:pt idx="141">
                  <c:v>17:42:36.0</c:v>
                </c:pt>
                <c:pt idx="142">
                  <c:v>17:42:37.0</c:v>
                </c:pt>
                <c:pt idx="143">
                  <c:v>17:42:37.9</c:v>
                </c:pt>
                <c:pt idx="144">
                  <c:v>17:42:39.2</c:v>
                </c:pt>
                <c:pt idx="145">
                  <c:v>17:42:40.3</c:v>
                </c:pt>
                <c:pt idx="146">
                  <c:v>17:42:41.1</c:v>
                </c:pt>
                <c:pt idx="147">
                  <c:v>17:42:42.1</c:v>
                </c:pt>
                <c:pt idx="148">
                  <c:v>17:42:43.3</c:v>
                </c:pt>
                <c:pt idx="149">
                  <c:v>17:42:44.0</c:v>
                </c:pt>
                <c:pt idx="150">
                  <c:v>17:42:45.1</c:v>
                </c:pt>
                <c:pt idx="151">
                  <c:v>17:42:46.2</c:v>
                </c:pt>
                <c:pt idx="152">
                  <c:v>17:42:47.3</c:v>
                </c:pt>
                <c:pt idx="153">
                  <c:v>17:42:48.3</c:v>
                </c:pt>
                <c:pt idx="154">
                  <c:v>17:42:49.4</c:v>
                </c:pt>
                <c:pt idx="155">
                  <c:v>17:42:50.4</c:v>
                </c:pt>
                <c:pt idx="156">
                  <c:v>17:43:03.3</c:v>
                </c:pt>
                <c:pt idx="157">
                  <c:v>17:43:04.4</c:v>
                </c:pt>
                <c:pt idx="158">
                  <c:v>17:43:05.6</c:v>
                </c:pt>
                <c:pt idx="159">
                  <c:v>17:43:06.5</c:v>
                </c:pt>
                <c:pt idx="160">
                  <c:v>17:43:07.5</c:v>
                </c:pt>
                <c:pt idx="161">
                  <c:v>17:43:08.5</c:v>
                </c:pt>
                <c:pt idx="162">
                  <c:v>17:43:09.6</c:v>
                </c:pt>
                <c:pt idx="163">
                  <c:v>17:43:10.8</c:v>
                </c:pt>
                <c:pt idx="164">
                  <c:v>17:43:11.7</c:v>
                </c:pt>
                <c:pt idx="165">
                  <c:v>17:43:12.9</c:v>
                </c:pt>
                <c:pt idx="166">
                  <c:v>17:43:13.8</c:v>
                </c:pt>
                <c:pt idx="167">
                  <c:v>17:43:14.7</c:v>
                </c:pt>
                <c:pt idx="168">
                  <c:v>17:43:15.7</c:v>
                </c:pt>
                <c:pt idx="169">
                  <c:v>17:43:16.9</c:v>
                </c:pt>
                <c:pt idx="170">
                  <c:v>17:43:17.7</c:v>
                </c:pt>
                <c:pt idx="171">
                  <c:v>17:43:18.6</c:v>
                </c:pt>
                <c:pt idx="172">
                  <c:v>17:43:19.6</c:v>
                </c:pt>
                <c:pt idx="173">
                  <c:v>17:43:20.6</c:v>
                </c:pt>
                <c:pt idx="174">
                  <c:v>17:43:21.6</c:v>
                </c:pt>
                <c:pt idx="175">
                  <c:v>17:43:22.7</c:v>
                </c:pt>
                <c:pt idx="176">
                  <c:v>17:43:23.7</c:v>
                </c:pt>
                <c:pt idx="177">
                  <c:v>17:43:24.8</c:v>
                </c:pt>
                <c:pt idx="178">
                  <c:v>17:43:25.9</c:v>
                </c:pt>
                <c:pt idx="179">
                  <c:v>17:43:26.8</c:v>
                </c:pt>
                <c:pt idx="180">
                  <c:v>17:43:27.8</c:v>
                </c:pt>
                <c:pt idx="181">
                  <c:v>17:43:30.0</c:v>
                </c:pt>
                <c:pt idx="182">
                  <c:v>17:43:30.8</c:v>
                </c:pt>
                <c:pt idx="183">
                  <c:v>17:43:32.0</c:v>
                </c:pt>
                <c:pt idx="184">
                  <c:v>17:43:32.9</c:v>
                </c:pt>
                <c:pt idx="185">
                  <c:v>17:43:33.8</c:v>
                </c:pt>
                <c:pt idx="186">
                  <c:v>17:43:34.7</c:v>
                </c:pt>
                <c:pt idx="187">
                  <c:v>17:43:35.5</c:v>
                </c:pt>
                <c:pt idx="188">
                  <c:v>17:43:37.6</c:v>
                </c:pt>
                <c:pt idx="189">
                  <c:v>17:43:38.7</c:v>
                </c:pt>
                <c:pt idx="190">
                  <c:v>17:43:39.8</c:v>
                </c:pt>
                <c:pt idx="191">
                  <c:v>17:43:40.9</c:v>
                </c:pt>
                <c:pt idx="192">
                  <c:v>17:43:42.0</c:v>
                </c:pt>
                <c:pt idx="193">
                  <c:v>17:43:43.1</c:v>
                </c:pt>
                <c:pt idx="194">
                  <c:v>17:43:44.2</c:v>
                </c:pt>
                <c:pt idx="195">
                  <c:v>17:43:45.2</c:v>
                </c:pt>
                <c:pt idx="196">
                  <c:v>17:43:46.3</c:v>
                </c:pt>
                <c:pt idx="197">
                  <c:v>17:43:47.3</c:v>
                </c:pt>
                <c:pt idx="198">
                  <c:v>17:43:48.4</c:v>
                </c:pt>
                <c:pt idx="199">
                  <c:v>17:43:49.3</c:v>
                </c:pt>
                <c:pt idx="200">
                  <c:v>17:43:50.1</c:v>
                </c:pt>
                <c:pt idx="201">
                  <c:v>17:43:51.3</c:v>
                </c:pt>
                <c:pt idx="202">
                  <c:v>17:43:52.3</c:v>
                </c:pt>
                <c:pt idx="203">
                  <c:v>17:43:53.2</c:v>
                </c:pt>
                <c:pt idx="204">
                  <c:v>17:43:54.2</c:v>
                </c:pt>
                <c:pt idx="205">
                  <c:v>17:43:55.2</c:v>
                </c:pt>
                <c:pt idx="206">
                  <c:v>17:43:56.3</c:v>
                </c:pt>
                <c:pt idx="207">
                  <c:v>17:43:57.4</c:v>
                </c:pt>
                <c:pt idx="208">
                  <c:v>17:43:58.3</c:v>
                </c:pt>
                <c:pt idx="209">
                  <c:v>17:43:59.0</c:v>
                </c:pt>
                <c:pt idx="210">
                  <c:v>17:44:00.1</c:v>
                </c:pt>
                <c:pt idx="211">
                  <c:v>17:44:01.0</c:v>
                </c:pt>
                <c:pt idx="212">
                  <c:v>17:44:01.9</c:v>
                </c:pt>
                <c:pt idx="213">
                  <c:v>17:44:03.0</c:v>
                </c:pt>
                <c:pt idx="214">
                  <c:v>17:44:04.2</c:v>
                </c:pt>
                <c:pt idx="215">
                  <c:v>17:44:06.5</c:v>
                </c:pt>
                <c:pt idx="216">
                  <c:v>17:44:07.3</c:v>
                </c:pt>
                <c:pt idx="217">
                  <c:v>17:44:08.5</c:v>
                </c:pt>
                <c:pt idx="218">
                  <c:v>17:44:09.3</c:v>
                </c:pt>
                <c:pt idx="219">
                  <c:v>17:44:10.2</c:v>
                </c:pt>
                <c:pt idx="220">
                  <c:v>17:44:11.3</c:v>
                </c:pt>
                <c:pt idx="221">
                  <c:v>17:44:12.4</c:v>
                </c:pt>
                <c:pt idx="222">
                  <c:v>17:44:13.4</c:v>
                </c:pt>
                <c:pt idx="223">
                  <c:v>17:44:14.3</c:v>
                </c:pt>
                <c:pt idx="224">
                  <c:v>17:44:15.4</c:v>
                </c:pt>
                <c:pt idx="225">
                  <c:v>17:44:16.3</c:v>
                </c:pt>
                <c:pt idx="226">
                  <c:v>17:44:17.3</c:v>
                </c:pt>
                <c:pt idx="227">
                  <c:v>17:44:18.3</c:v>
                </c:pt>
                <c:pt idx="228">
                  <c:v>17:44:19.3</c:v>
                </c:pt>
                <c:pt idx="229">
                  <c:v>17:44:20.4</c:v>
                </c:pt>
                <c:pt idx="230">
                  <c:v>17:44:21.5</c:v>
                </c:pt>
                <c:pt idx="231">
                  <c:v>17:44:22.4</c:v>
                </c:pt>
                <c:pt idx="232">
                  <c:v>17:44:23.3</c:v>
                </c:pt>
                <c:pt idx="233">
                  <c:v>17:44:24.5</c:v>
                </c:pt>
                <c:pt idx="234">
                  <c:v>17:44:26.4</c:v>
                </c:pt>
                <c:pt idx="235">
                  <c:v>17:44:27.3</c:v>
                </c:pt>
                <c:pt idx="236">
                  <c:v>17:44:28.4</c:v>
                </c:pt>
                <c:pt idx="237">
                  <c:v>17:44:29.3</c:v>
                </c:pt>
                <c:pt idx="238">
                  <c:v>17:44:30.4</c:v>
                </c:pt>
                <c:pt idx="239">
                  <c:v>17:44:31.4</c:v>
                </c:pt>
                <c:pt idx="240">
                  <c:v>17:44:32.3</c:v>
                </c:pt>
                <c:pt idx="241">
                  <c:v>17:44:33.4</c:v>
                </c:pt>
                <c:pt idx="242">
                  <c:v>17:44:34.4</c:v>
                </c:pt>
                <c:pt idx="243">
                  <c:v>17:44:35.3</c:v>
                </c:pt>
                <c:pt idx="244">
                  <c:v>17:44:36.1</c:v>
                </c:pt>
                <c:pt idx="245">
                  <c:v>17:44:37.2</c:v>
                </c:pt>
                <c:pt idx="246">
                  <c:v>17:44:38.1</c:v>
                </c:pt>
                <c:pt idx="247">
                  <c:v>17:44:38.9</c:v>
                </c:pt>
                <c:pt idx="248">
                  <c:v>17:44:39.9</c:v>
                </c:pt>
                <c:pt idx="249">
                  <c:v>17:44:40.8</c:v>
                </c:pt>
                <c:pt idx="250">
                  <c:v>17:44:41.7</c:v>
                </c:pt>
                <c:pt idx="251">
                  <c:v>17:44:42.6</c:v>
                </c:pt>
                <c:pt idx="252">
                  <c:v>17:44:43.6</c:v>
                </c:pt>
                <c:pt idx="253">
                  <c:v>17:44:44.6</c:v>
                </c:pt>
                <c:pt idx="254">
                  <c:v>17:44:45.7</c:v>
                </c:pt>
                <c:pt idx="255">
                  <c:v>17:44:46.6</c:v>
                </c:pt>
                <c:pt idx="256">
                  <c:v>17:44:47.7</c:v>
                </c:pt>
                <c:pt idx="257">
                  <c:v>17:44:48.7</c:v>
                </c:pt>
                <c:pt idx="258">
                  <c:v>17:44:49.6</c:v>
                </c:pt>
                <c:pt idx="259">
                  <c:v>17:44:50.6</c:v>
                </c:pt>
                <c:pt idx="260">
                  <c:v>17:44:51.7</c:v>
                </c:pt>
                <c:pt idx="261">
                  <c:v>17:44:52.5</c:v>
                </c:pt>
                <c:pt idx="262">
                  <c:v>17:44:53.5</c:v>
                </c:pt>
                <c:pt idx="263">
                  <c:v>17:44:54.5</c:v>
                </c:pt>
                <c:pt idx="264">
                  <c:v>17:44:55.7</c:v>
                </c:pt>
                <c:pt idx="265">
                  <c:v>17:44:56.8</c:v>
                </c:pt>
                <c:pt idx="266">
                  <c:v>17:44:57.8</c:v>
                </c:pt>
                <c:pt idx="267">
                  <c:v>17:44:58.8</c:v>
                </c:pt>
                <c:pt idx="268">
                  <c:v>17:44:59.8</c:v>
                </c:pt>
                <c:pt idx="269">
                  <c:v>17:45:00.8</c:v>
                </c:pt>
                <c:pt idx="270">
                  <c:v>17:45:01.7</c:v>
                </c:pt>
                <c:pt idx="271">
                  <c:v>17:45:02.7</c:v>
                </c:pt>
                <c:pt idx="272">
                  <c:v>17:45:03.7</c:v>
                </c:pt>
                <c:pt idx="273">
                  <c:v>17:45:04.8</c:v>
                </c:pt>
                <c:pt idx="274">
                  <c:v>17:45:05.6</c:v>
                </c:pt>
                <c:pt idx="275">
                  <c:v>17:45:06.7</c:v>
                </c:pt>
                <c:pt idx="276">
                  <c:v>17:45:07.8</c:v>
                </c:pt>
                <c:pt idx="277">
                  <c:v>17:45:08.9</c:v>
                </c:pt>
                <c:pt idx="278">
                  <c:v>17:45:09.8</c:v>
                </c:pt>
                <c:pt idx="279">
                  <c:v>17:45:11.0</c:v>
                </c:pt>
                <c:pt idx="280">
                  <c:v>17:45:11.8</c:v>
                </c:pt>
                <c:pt idx="281">
                  <c:v>17:45:12.9</c:v>
                </c:pt>
                <c:pt idx="282">
                  <c:v>17:45:26.6</c:v>
                </c:pt>
                <c:pt idx="283">
                  <c:v>17:45:27.5</c:v>
                </c:pt>
                <c:pt idx="284">
                  <c:v>17:45:28.4</c:v>
                </c:pt>
                <c:pt idx="285">
                  <c:v>17:45:29.4</c:v>
                </c:pt>
                <c:pt idx="286">
                  <c:v>17:45:30.5</c:v>
                </c:pt>
                <c:pt idx="287">
                  <c:v>17:45:31.5</c:v>
                </c:pt>
                <c:pt idx="288">
                  <c:v>17:45:32.5</c:v>
                </c:pt>
                <c:pt idx="289">
                  <c:v>17:45:33.6</c:v>
                </c:pt>
                <c:pt idx="290">
                  <c:v>17:45:34.7</c:v>
                </c:pt>
                <c:pt idx="291">
                  <c:v>17:45:35.4</c:v>
                </c:pt>
                <c:pt idx="292">
                  <c:v>17:45:36.4</c:v>
                </c:pt>
                <c:pt idx="293">
                  <c:v>17:45:37.3</c:v>
                </c:pt>
                <c:pt idx="294">
                  <c:v>17:45:38.2</c:v>
                </c:pt>
                <c:pt idx="295">
                  <c:v>17:45:39.3</c:v>
                </c:pt>
                <c:pt idx="296">
                  <c:v>17:45:40.2</c:v>
                </c:pt>
                <c:pt idx="297">
                  <c:v>17:45:41.3</c:v>
                </c:pt>
                <c:pt idx="298">
                  <c:v>17:45:42.3</c:v>
                </c:pt>
                <c:pt idx="299">
                  <c:v>17:45:43.3</c:v>
                </c:pt>
                <c:pt idx="300">
                  <c:v>17:45:44.2</c:v>
                </c:pt>
                <c:pt idx="301">
                  <c:v>17:45:45.3</c:v>
                </c:pt>
                <c:pt idx="302">
                  <c:v>17:45:46.3</c:v>
                </c:pt>
                <c:pt idx="303">
                  <c:v>17:45:47.2</c:v>
                </c:pt>
                <c:pt idx="304">
                  <c:v>17:45:48.5</c:v>
                </c:pt>
                <c:pt idx="305">
                  <c:v>17:45:49.5</c:v>
                </c:pt>
                <c:pt idx="306">
                  <c:v>17:45:50.6</c:v>
                </c:pt>
                <c:pt idx="307">
                  <c:v>17:45:51.5</c:v>
                </c:pt>
                <c:pt idx="308">
                  <c:v>17:45:52.6</c:v>
                </c:pt>
                <c:pt idx="309">
                  <c:v>17:45:53.5</c:v>
                </c:pt>
                <c:pt idx="310">
                  <c:v>17:45:54.5</c:v>
                </c:pt>
                <c:pt idx="311">
                  <c:v>17:45:55.5</c:v>
                </c:pt>
                <c:pt idx="312">
                  <c:v>17:45:56.5</c:v>
                </c:pt>
                <c:pt idx="313">
                  <c:v>17:45:57.6</c:v>
                </c:pt>
                <c:pt idx="314">
                  <c:v>17:45:58.6</c:v>
                </c:pt>
                <c:pt idx="315">
                  <c:v>17:45:59.5</c:v>
                </c:pt>
                <c:pt idx="316">
                  <c:v>17:46:00.6</c:v>
                </c:pt>
                <c:pt idx="317">
                  <c:v>17:46:01.6</c:v>
                </c:pt>
                <c:pt idx="318">
                  <c:v>17:46:02.6</c:v>
                </c:pt>
                <c:pt idx="319">
                  <c:v>17:46:03.6</c:v>
                </c:pt>
                <c:pt idx="320">
                  <c:v>17:46:04.7</c:v>
                </c:pt>
                <c:pt idx="321">
                  <c:v>17:46:05.6</c:v>
                </c:pt>
                <c:pt idx="322">
                  <c:v>17:46:06.6</c:v>
                </c:pt>
                <c:pt idx="323">
                  <c:v>17:46:07.7</c:v>
                </c:pt>
                <c:pt idx="324">
                  <c:v>17:46:08.4</c:v>
                </c:pt>
                <c:pt idx="325">
                  <c:v>17:46:09.4</c:v>
                </c:pt>
                <c:pt idx="326">
                  <c:v>17:46:10.4</c:v>
                </c:pt>
                <c:pt idx="327">
                  <c:v>17:46:11.3</c:v>
                </c:pt>
                <c:pt idx="328">
                  <c:v>17:46:12.5</c:v>
                </c:pt>
                <c:pt idx="329">
                  <c:v>17:46:13.5</c:v>
                </c:pt>
                <c:pt idx="330">
                  <c:v>17:46:14.6</c:v>
                </c:pt>
                <c:pt idx="331">
                  <c:v>17:46:15.6</c:v>
                </c:pt>
                <c:pt idx="332">
                  <c:v>17:46:16.6</c:v>
                </c:pt>
                <c:pt idx="333">
                  <c:v>17:46:17.7</c:v>
                </c:pt>
                <c:pt idx="334">
                  <c:v>17:46:18.7</c:v>
                </c:pt>
                <c:pt idx="335">
                  <c:v>17:46:19.6</c:v>
                </c:pt>
                <c:pt idx="336">
                  <c:v>17:46:20.6</c:v>
                </c:pt>
                <c:pt idx="337">
                  <c:v>17:46:21.5</c:v>
                </c:pt>
                <c:pt idx="338">
                  <c:v>17:46:22.6</c:v>
                </c:pt>
                <c:pt idx="339">
                  <c:v>17:46:23.7</c:v>
                </c:pt>
                <c:pt idx="340">
                  <c:v>17:46:24.8</c:v>
                </c:pt>
                <c:pt idx="341">
                  <c:v>17:46:26.0</c:v>
                </c:pt>
                <c:pt idx="342">
                  <c:v>17:46:27.0</c:v>
                </c:pt>
                <c:pt idx="343">
                  <c:v>17:46:27.9</c:v>
                </c:pt>
                <c:pt idx="344">
                  <c:v>17:46:28.9</c:v>
                </c:pt>
                <c:pt idx="345">
                  <c:v>17:46:29.8</c:v>
                </c:pt>
                <c:pt idx="346">
                  <c:v>17:46:30.7</c:v>
                </c:pt>
                <c:pt idx="347">
                  <c:v>17:46:31.8</c:v>
                </c:pt>
                <c:pt idx="348">
                  <c:v>17:46:33.0</c:v>
                </c:pt>
                <c:pt idx="349">
                  <c:v>17:46:33.7</c:v>
                </c:pt>
                <c:pt idx="350">
                  <c:v>17:46:34.8</c:v>
                </c:pt>
                <c:pt idx="351">
                  <c:v>17:46:35.8</c:v>
                </c:pt>
                <c:pt idx="352">
                  <c:v>17:46:36.7</c:v>
                </c:pt>
                <c:pt idx="353">
                  <c:v>17:46:38.2</c:v>
                </c:pt>
                <c:pt idx="354">
                  <c:v>17:46:38.9</c:v>
                </c:pt>
                <c:pt idx="355">
                  <c:v>17:46:39.7</c:v>
                </c:pt>
                <c:pt idx="356">
                  <c:v>17:46:40.6</c:v>
                </c:pt>
                <c:pt idx="357">
                  <c:v>17:46:41.7</c:v>
                </c:pt>
                <c:pt idx="358">
                  <c:v>17:46:42.5</c:v>
                </c:pt>
                <c:pt idx="359">
                  <c:v>17:46:43.5</c:v>
                </c:pt>
                <c:pt idx="360">
                  <c:v>17:46:44.7</c:v>
                </c:pt>
                <c:pt idx="361">
                  <c:v>17:46:45.5</c:v>
                </c:pt>
                <c:pt idx="362">
                  <c:v>17:46:46.4</c:v>
                </c:pt>
                <c:pt idx="363">
                  <c:v>17:46:47.4</c:v>
                </c:pt>
                <c:pt idx="364">
                  <c:v>17:46:48.2</c:v>
                </c:pt>
                <c:pt idx="365">
                  <c:v>17:46:49.1</c:v>
                </c:pt>
                <c:pt idx="366">
                  <c:v>17:46:49.9</c:v>
                </c:pt>
                <c:pt idx="367">
                  <c:v>17:46:51.1</c:v>
                </c:pt>
                <c:pt idx="368">
                  <c:v>17:46:52.1</c:v>
                </c:pt>
                <c:pt idx="369">
                  <c:v>17:46:53.0</c:v>
                </c:pt>
                <c:pt idx="370">
                  <c:v>17:46:53.9</c:v>
                </c:pt>
                <c:pt idx="371">
                  <c:v>17:46:54.9</c:v>
                </c:pt>
                <c:pt idx="372">
                  <c:v>17:46:56.0</c:v>
                </c:pt>
                <c:pt idx="373">
                  <c:v>17:46:56.9</c:v>
                </c:pt>
                <c:pt idx="374">
                  <c:v>17:46:58.0</c:v>
                </c:pt>
                <c:pt idx="375">
                  <c:v>17:46:58.9</c:v>
                </c:pt>
                <c:pt idx="376">
                  <c:v>17:46:59.9</c:v>
                </c:pt>
                <c:pt idx="377">
                  <c:v>17:47:01.0</c:v>
                </c:pt>
                <c:pt idx="378">
                  <c:v>17:47:02.1</c:v>
                </c:pt>
                <c:pt idx="379">
                  <c:v>17:47:03.0</c:v>
                </c:pt>
                <c:pt idx="380">
                  <c:v>17:47:04.8</c:v>
                </c:pt>
                <c:pt idx="381">
                  <c:v>17:47:05.8</c:v>
                </c:pt>
                <c:pt idx="382">
                  <c:v>17:47:06.8</c:v>
                </c:pt>
                <c:pt idx="383">
                  <c:v>17:47:07.6</c:v>
                </c:pt>
                <c:pt idx="384">
                  <c:v>17:47:08.7</c:v>
                </c:pt>
                <c:pt idx="385">
                  <c:v>17:47:09.6</c:v>
                </c:pt>
                <c:pt idx="386">
                  <c:v>17:47:10.8</c:v>
                </c:pt>
                <c:pt idx="387">
                  <c:v>17:47:11.8</c:v>
                </c:pt>
                <c:pt idx="388">
                  <c:v>17:47:12.7</c:v>
                </c:pt>
                <c:pt idx="389">
                  <c:v>17:47:13.8</c:v>
                </c:pt>
                <c:pt idx="390">
                  <c:v>17:47:14.7</c:v>
                </c:pt>
                <c:pt idx="391">
                  <c:v>17:47:15.7</c:v>
                </c:pt>
                <c:pt idx="392">
                  <c:v>17:47:16.6</c:v>
                </c:pt>
                <c:pt idx="393">
                  <c:v>17:47:17.6</c:v>
                </c:pt>
                <c:pt idx="394">
                  <c:v>17:47:18.6</c:v>
                </c:pt>
                <c:pt idx="395">
                  <c:v>17:47:19.6</c:v>
                </c:pt>
                <c:pt idx="396">
                  <c:v>17:47:20.8</c:v>
                </c:pt>
                <c:pt idx="397">
                  <c:v>17:47:21.6</c:v>
                </c:pt>
                <c:pt idx="398">
                  <c:v>17:47:22.8</c:v>
                </c:pt>
                <c:pt idx="399">
                  <c:v>17:47:23.6</c:v>
                </c:pt>
                <c:pt idx="400">
                  <c:v>17:47:24.6</c:v>
                </c:pt>
                <c:pt idx="401">
                  <c:v>17:47:25.5</c:v>
                </c:pt>
                <c:pt idx="402">
                  <c:v>17:47:26.4</c:v>
                </c:pt>
                <c:pt idx="403">
                  <c:v>17:47:27.2</c:v>
                </c:pt>
                <c:pt idx="404">
                  <c:v>17:47:28.3</c:v>
                </c:pt>
                <c:pt idx="405">
                  <c:v>17:47:29.5</c:v>
                </c:pt>
                <c:pt idx="406">
                  <c:v>17:47:30.6</c:v>
                </c:pt>
                <c:pt idx="407">
                  <c:v>17:47:31.6</c:v>
                </c:pt>
                <c:pt idx="408">
                  <c:v>17:47:32.6</c:v>
                </c:pt>
                <c:pt idx="409">
                  <c:v>17:47:33.8</c:v>
                </c:pt>
                <c:pt idx="410">
                  <c:v>17:47:34.8</c:v>
                </c:pt>
                <c:pt idx="411">
                  <c:v>17:47:35.8</c:v>
                </c:pt>
                <c:pt idx="412">
                  <c:v>17:47:36.6</c:v>
                </c:pt>
                <c:pt idx="413">
                  <c:v>17:47:37.7</c:v>
                </c:pt>
                <c:pt idx="414">
                  <c:v>17:47:38.7</c:v>
                </c:pt>
                <c:pt idx="415">
                  <c:v>17:47:39.8</c:v>
                </c:pt>
                <c:pt idx="416">
                  <c:v>17:47:40.7</c:v>
                </c:pt>
                <c:pt idx="417">
                  <c:v>17:47:41.6</c:v>
                </c:pt>
                <c:pt idx="418">
                  <c:v>17:47:42.7</c:v>
                </c:pt>
                <c:pt idx="419">
                  <c:v>17:47:43.8</c:v>
                </c:pt>
                <c:pt idx="420">
                  <c:v>17:47:44.7</c:v>
                </c:pt>
                <c:pt idx="421">
                  <c:v>17:47:45.6</c:v>
                </c:pt>
                <c:pt idx="422">
                  <c:v>17:48:00.2</c:v>
                </c:pt>
                <c:pt idx="423">
                  <c:v>17:48:01.2</c:v>
                </c:pt>
                <c:pt idx="424">
                  <c:v>17:48:02.2</c:v>
                </c:pt>
                <c:pt idx="425">
                  <c:v>17:48:03.1</c:v>
                </c:pt>
                <c:pt idx="426">
                  <c:v>17:48:04.1</c:v>
                </c:pt>
                <c:pt idx="427">
                  <c:v>17:48:05.3</c:v>
                </c:pt>
                <c:pt idx="428">
                  <c:v>17:48:06.3</c:v>
                </c:pt>
                <c:pt idx="429">
                  <c:v>17:48:07.2</c:v>
                </c:pt>
                <c:pt idx="430">
                  <c:v>17:48:08.3</c:v>
                </c:pt>
                <c:pt idx="431">
                  <c:v>17:48:09.3</c:v>
                </c:pt>
                <c:pt idx="432">
                  <c:v>17:48:10.4</c:v>
                </c:pt>
                <c:pt idx="433">
                  <c:v>17:48:11.4</c:v>
                </c:pt>
                <c:pt idx="434">
                  <c:v>17:48:12.4</c:v>
                </c:pt>
                <c:pt idx="435">
                  <c:v>17:48:13.4</c:v>
                </c:pt>
                <c:pt idx="436">
                  <c:v>17:48:14.3</c:v>
                </c:pt>
                <c:pt idx="437">
                  <c:v>17:48:15.3</c:v>
                </c:pt>
                <c:pt idx="438">
                  <c:v>17:48:16.4</c:v>
                </c:pt>
                <c:pt idx="439">
                  <c:v>17:48:17.5</c:v>
                </c:pt>
                <c:pt idx="440">
                  <c:v>17:48:18.7</c:v>
                </c:pt>
                <c:pt idx="441">
                  <c:v>17:48:19.4</c:v>
                </c:pt>
                <c:pt idx="442">
                  <c:v>17:48:20.4</c:v>
                </c:pt>
                <c:pt idx="443">
                  <c:v>17:48:21.4</c:v>
                </c:pt>
                <c:pt idx="444">
                  <c:v>17:48:22.3</c:v>
                </c:pt>
                <c:pt idx="445">
                  <c:v>17:48:23.4</c:v>
                </c:pt>
                <c:pt idx="446">
                  <c:v>17:48:24.3</c:v>
                </c:pt>
                <c:pt idx="447">
                  <c:v>17:48:25.3</c:v>
                </c:pt>
                <c:pt idx="448">
                  <c:v>17:48:26.3</c:v>
                </c:pt>
                <c:pt idx="449">
                  <c:v>17:48:27.4</c:v>
                </c:pt>
                <c:pt idx="450">
                  <c:v>17:48:28.4</c:v>
                </c:pt>
                <c:pt idx="451">
                  <c:v>17:48:29.3</c:v>
                </c:pt>
                <c:pt idx="452">
                  <c:v>17:48:30.2</c:v>
                </c:pt>
                <c:pt idx="453">
                  <c:v>17:48:31.1</c:v>
                </c:pt>
                <c:pt idx="454">
                  <c:v>17:48:32.0</c:v>
                </c:pt>
                <c:pt idx="455">
                  <c:v>17:48:33.1</c:v>
                </c:pt>
                <c:pt idx="456">
                  <c:v>17:48:34.1</c:v>
                </c:pt>
                <c:pt idx="457">
                  <c:v>17:48:35.1</c:v>
                </c:pt>
                <c:pt idx="458">
                  <c:v>17:48:36.1</c:v>
                </c:pt>
                <c:pt idx="459">
                  <c:v>17:48:37.0</c:v>
                </c:pt>
                <c:pt idx="460">
                  <c:v>17:48:38.0</c:v>
                </c:pt>
                <c:pt idx="461">
                  <c:v>17:48:39.1</c:v>
                </c:pt>
                <c:pt idx="462">
                  <c:v>17:48:40.3</c:v>
                </c:pt>
                <c:pt idx="463">
                  <c:v>17:48:41.4</c:v>
                </c:pt>
                <c:pt idx="464">
                  <c:v>17:48:42.5</c:v>
                </c:pt>
                <c:pt idx="465">
                  <c:v>17:48:43.4</c:v>
                </c:pt>
                <c:pt idx="466">
                  <c:v>17:48:44.5</c:v>
                </c:pt>
                <c:pt idx="467">
                  <c:v>17:48:45.4</c:v>
                </c:pt>
                <c:pt idx="468">
                  <c:v>17:48:46.5</c:v>
                </c:pt>
                <c:pt idx="469">
                  <c:v>17:48:47.6</c:v>
                </c:pt>
                <c:pt idx="470">
                  <c:v>17:48:48.7</c:v>
                </c:pt>
                <c:pt idx="471">
                  <c:v>17:48:49.5</c:v>
                </c:pt>
                <c:pt idx="472">
                  <c:v>17:48:50.5</c:v>
                </c:pt>
                <c:pt idx="473">
                  <c:v>17:48:51.4</c:v>
                </c:pt>
                <c:pt idx="474">
                  <c:v>17:48:52.2</c:v>
                </c:pt>
                <c:pt idx="475">
                  <c:v>17:48:53.1</c:v>
                </c:pt>
                <c:pt idx="476">
                  <c:v>17:48:54.2</c:v>
                </c:pt>
                <c:pt idx="477">
                  <c:v>17:48:55.2</c:v>
                </c:pt>
                <c:pt idx="478">
                  <c:v>17:48:56.3</c:v>
                </c:pt>
                <c:pt idx="479">
                  <c:v>17:48:57.2</c:v>
                </c:pt>
                <c:pt idx="480">
                  <c:v>17:48:58.1</c:v>
                </c:pt>
                <c:pt idx="481">
                  <c:v>17:48:59.1</c:v>
                </c:pt>
                <c:pt idx="482">
                  <c:v>17:49:00.1</c:v>
                </c:pt>
                <c:pt idx="483">
                  <c:v>17:49:01.2</c:v>
                </c:pt>
                <c:pt idx="484">
                  <c:v>17:49:02.2</c:v>
                </c:pt>
                <c:pt idx="485">
                  <c:v>17:49:03.1</c:v>
                </c:pt>
                <c:pt idx="486">
                  <c:v>17:49:04.3</c:v>
                </c:pt>
                <c:pt idx="487">
                  <c:v>17:49:05.4</c:v>
                </c:pt>
                <c:pt idx="488">
                  <c:v>17:49:06.4</c:v>
                </c:pt>
                <c:pt idx="489">
                  <c:v>17:49:07.5</c:v>
                </c:pt>
                <c:pt idx="490">
                  <c:v>17:49:08.4</c:v>
                </c:pt>
                <c:pt idx="491">
                  <c:v>17:49:09.6</c:v>
                </c:pt>
                <c:pt idx="492">
                  <c:v>17:49:10.5</c:v>
                </c:pt>
                <c:pt idx="493">
                  <c:v>17:49:11.4</c:v>
                </c:pt>
                <c:pt idx="494">
                  <c:v>17:49:12.4</c:v>
                </c:pt>
                <c:pt idx="495">
                  <c:v>17:49:13.4</c:v>
                </c:pt>
                <c:pt idx="496">
                  <c:v>17:49:14.6</c:v>
                </c:pt>
                <c:pt idx="497">
                  <c:v>17:49:15.3</c:v>
                </c:pt>
                <c:pt idx="498">
                  <c:v>17:49:16.5</c:v>
                </c:pt>
                <c:pt idx="499">
                  <c:v>17:49:17.3</c:v>
                </c:pt>
                <c:pt idx="500">
                  <c:v>17:49:18.3</c:v>
                </c:pt>
                <c:pt idx="501">
                  <c:v>17:49:19.4</c:v>
                </c:pt>
                <c:pt idx="502">
                  <c:v>17:49:20.4</c:v>
                </c:pt>
                <c:pt idx="503">
                  <c:v>17:49:21.2</c:v>
                </c:pt>
                <c:pt idx="504">
                  <c:v>17:49:22.4</c:v>
                </c:pt>
                <c:pt idx="505">
                  <c:v>17:49:23.6</c:v>
                </c:pt>
                <c:pt idx="506">
                  <c:v>17:49:24.6</c:v>
                </c:pt>
                <c:pt idx="507">
                  <c:v>17:49:25.6</c:v>
                </c:pt>
                <c:pt idx="508">
                  <c:v>17:49:26.6</c:v>
                </c:pt>
                <c:pt idx="509">
                  <c:v>17:49:27.8</c:v>
                </c:pt>
                <c:pt idx="510">
                  <c:v>17:49:28.7</c:v>
                </c:pt>
                <c:pt idx="511">
                  <c:v>17:49:29.7</c:v>
                </c:pt>
                <c:pt idx="512">
                  <c:v>17:49:30.9</c:v>
                </c:pt>
                <c:pt idx="513">
                  <c:v>17:49:31.8</c:v>
                </c:pt>
                <c:pt idx="514">
                  <c:v>17:49:33.0</c:v>
                </c:pt>
                <c:pt idx="515">
                  <c:v>17:49:34.0</c:v>
                </c:pt>
                <c:pt idx="516">
                  <c:v>17:49:34.8</c:v>
                </c:pt>
                <c:pt idx="517">
                  <c:v>17:49:35.7</c:v>
                </c:pt>
                <c:pt idx="518">
                  <c:v>17:49:36.9</c:v>
                </c:pt>
                <c:pt idx="519">
                  <c:v>17:49:37.6</c:v>
                </c:pt>
                <c:pt idx="520">
                  <c:v>17:49:38.6</c:v>
                </c:pt>
                <c:pt idx="521">
                  <c:v>17:49:39.5</c:v>
                </c:pt>
                <c:pt idx="522">
                  <c:v>17:49:40.5</c:v>
                </c:pt>
                <c:pt idx="523">
                  <c:v>17:49:41.5</c:v>
                </c:pt>
                <c:pt idx="524">
                  <c:v>17:49:42.4</c:v>
                </c:pt>
                <c:pt idx="525">
                  <c:v>17:49:43.3</c:v>
                </c:pt>
                <c:pt idx="526">
                  <c:v>17:49:44.4</c:v>
                </c:pt>
                <c:pt idx="527">
                  <c:v>17:49:45.3</c:v>
                </c:pt>
                <c:pt idx="528">
                  <c:v>17:49:46.4</c:v>
                </c:pt>
                <c:pt idx="529">
                  <c:v>17:49:47.5</c:v>
                </c:pt>
                <c:pt idx="530">
                  <c:v>17:49:48.3</c:v>
                </c:pt>
                <c:pt idx="531">
                  <c:v>17:49:49.4</c:v>
                </c:pt>
                <c:pt idx="532">
                  <c:v>17:49:50.3</c:v>
                </c:pt>
                <c:pt idx="533">
                  <c:v>17:49:51.4</c:v>
                </c:pt>
                <c:pt idx="534">
                  <c:v>17:49:52.4</c:v>
                </c:pt>
                <c:pt idx="535">
                  <c:v>17:49:53.2</c:v>
                </c:pt>
                <c:pt idx="536">
                  <c:v>17:49:54.4</c:v>
                </c:pt>
                <c:pt idx="537">
                  <c:v>17:49:55.3</c:v>
                </c:pt>
                <c:pt idx="538">
                  <c:v>17:49:56.3</c:v>
                </c:pt>
                <c:pt idx="539">
                  <c:v>17:49:57.3</c:v>
                </c:pt>
                <c:pt idx="540">
                  <c:v>17:49:58.4</c:v>
                </c:pt>
                <c:pt idx="541">
                  <c:v>17:49:59.2</c:v>
                </c:pt>
                <c:pt idx="542">
                  <c:v>17:50:00.3</c:v>
                </c:pt>
                <c:pt idx="543">
                  <c:v>17:50:01.4</c:v>
                </c:pt>
                <c:pt idx="544">
                  <c:v>17:50:02.4</c:v>
                </c:pt>
                <c:pt idx="545">
                  <c:v>17:50:03.5</c:v>
                </c:pt>
                <c:pt idx="546">
                  <c:v>17:50:04.7</c:v>
                </c:pt>
                <c:pt idx="547">
                  <c:v>17:50:05.7</c:v>
                </c:pt>
                <c:pt idx="548">
                  <c:v>17:50:06.6</c:v>
                </c:pt>
                <c:pt idx="549">
                  <c:v>17:50:07.7</c:v>
                </c:pt>
                <c:pt idx="550">
                  <c:v>17:50:08.7</c:v>
                </c:pt>
                <c:pt idx="551">
                  <c:v>17:50:09.5</c:v>
                </c:pt>
                <c:pt idx="552">
                  <c:v>17:50:10.5</c:v>
                </c:pt>
                <c:pt idx="553">
                  <c:v>17:50:11.4</c:v>
                </c:pt>
                <c:pt idx="554">
                  <c:v>17:50:12.4</c:v>
                </c:pt>
                <c:pt idx="555">
                  <c:v>17:50:13.6</c:v>
                </c:pt>
                <c:pt idx="556">
                  <c:v>17:50:14.6</c:v>
                </c:pt>
                <c:pt idx="557">
                  <c:v>17:50:15.7</c:v>
                </c:pt>
                <c:pt idx="558">
                  <c:v>17:50:16.6</c:v>
                </c:pt>
                <c:pt idx="559">
                  <c:v>17:50:17.5</c:v>
                </c:pt>
                <c:pt idx="560">
                  <c:v>17:50:18.6</c:v>
                </c:pt>
                <c:pt idx="561">
                  <c:v>17:50:19.4</c:v>
                </c:pt>
                <c:pt idx="562">
                  <c:v>17:50:20.5</c:v>
                </c:pt>
                <c:pt idx="563">
                  <c:v>17:50:21.5</c:v>
                </c:pt>
                <c:pt idx="564">
                  <c:v>17:50:22.4</c:v>
                </c:pt>
                <c:pt idx="565">
                  <c:v>17:50:23.7</c:v>
                </c:pt>
                <c:pt idx="566">
                  <c:v>17:50:24.8</c:v>
                </c:pt>
                <c:pt idx="567">
                  <c:v>17:50:25.7</c:v>
                </c:pt>
                <c:pt idx="568">
                  <c:v>17:50:26.6</c:v>
                </c:pt>
                <c:pt idx="569">
                  <c:v>17:50:27.9</c:v>
                </c:pt>
                <c:pt idx="570">
                  <c:v>17:50:28.6</c:v>
                </c:pt>
                <c:pt idx="571">
                  <c:v>17:50:29.7</c:v>
                </c:pt>
              </c:strCache>
            </c:strRef>
          </c:xVal>
          <c:yVal>
            <c:numRef>
              <c:f>'20230211_A7C771_507513747_ADSB_'!$BB$2:$BB$573</c:f>
              <c:numCache>
                <c:formatCode>0</c:formatCode>
                <c:ptCount val="572"/>
                <c:pt idx="0">
                  <c:v>0</c:v>
                </c:pt>
                <c:pt idx="1">
                  <c:v>267.44158240632663</c:v>
                </c:pt>
                <c:pt idx="2">
                  <c:v>266.90822392725181</c:v>
                </c:pt>
                <c:pt idx="3">
                  <c:v>266.0620228442985</c:v>
                </c:pt>
                <c:pt idx="4">
                  <c:v>264.68282906150148</c:v>
                </c:pt>
                <c:pt idx="5">
                  <c:v>264.1514716975849</c:v>
                </c:pt>
                <c:pt idx="6">
                  <c:v>262.77366686941826</c:v>
                </c:pt>
                <c:pt idx="7">
                  <c:v>261.39625092950359</c:v>
                </c:pt>
                <c:pt idx="8">
                  <c:v>260.54750046776502</c:v>
                </c:pt>
                <c:pt idx="9">
                  <c:v>259.16982849089516</c:v>
                </c:pt>
                <c:pt idx="10">
                  <c:v>257.79255225859418</c:v>
                </c:pt>
                <c:pt idx="11">
                  <c:v>253.6631624812716</c:v>
                </c:pt>
                <c:pt idx="12">
                  <c:v>252.28753437298482</c:v>
                </c:pt>
                <c:pt idx="13">
                  <c:v>250.9123352886422</c:v>
                </c:pt>
                <c:pt idx="14">
                  <c:v>248.68453912537467</c:v>
                </c:pt>
                <c:pt idx="15">
                  <c:v>247.3095226634025</c:v>
                </c:pt>
                <c:pt idx="16">
                  <c:v>245.93495074917675</c:v>
                </c:pt>
                <c:pt idx="17">
                  <c:v>244.56083087853622</c:v>
                </c:pt>
                <c:pt idx="18">
                  <c:v>243.70679104202247</c:v>
                </c:pt>
                <c:pt idx="19">
                  <c:v>242.33241632105268</c:v>
                </c:pt>
                <c:pt idx="20">
                  <c:v>241.81397809059757</c:v>
                </c:pt>
                <c:pt idx="21">
                  <c:v>240.44126101815388</c:v>
                </c:pt>
                <c:pt idx="22">
                  <c:v>239.06902768865731</c:v>
                </c:pt>
                <c:pt idx="23">
                  <c:v>237.35627229968034</c:v>
                </c:pt>
                <c:pt idx="24">
                  <c:v>236.83960817397076</c:v>
                </c:pt>
                <c:pt idx="25">
                  <c:v>235.46761985462035</c:v>
                </c:pt>
                <c:pt idx="26">
                  <c:v>234.09613409879285</c:v>
                </c:pt>
                <c:pt idx="27">
                  <c:v>231.86634080866503</c:v>
                </c:pt>
                <c:pt idx="28">
                  <c:v>231.35470602518549</c:v>
                </c:pt>
                <c:pt idx="29">
                  <c:v>230.4951192541829</c:v>
                </c:pt>
                <c:pt idx="30">
                  <c:v>229.12442034842118</c:v>
                </c:pt>
                <c:pt idx="31">
                  <c:v>226.38462845343543</c:v>
                </c:pt>
                <c:pt idx="32">
                  <c:v>226.38462845343543</c:v>
                </c:pt>
                <c:pt idx="33">
                  <c:v>225.52383466055201</c:v>
                </c:pt>
                <c:pt idx="34">
                  <c:v>224.1539649437413</c:v>
                </c:pt>
                <c:pt idx="35">
                  <c:v>222.78464938141497</c:v>
                </c:pt>
                <c:pt idx="36">
                  <c:v>221.41589825484527</c:v>
                </c:pt>
                <c:pt idx="37">
                  <c:v>220.55384830013736</c:v>
                </c:pt>
                <c:pt idx="38">
                  <c:v>219.18485349129398</c:v>
                </c:pt>
                <c:pt idx="39">
                  <c:v>205.65261972559455</c:v>
                </c:pt>
                <c:pt idx="40">
                  <c:v>204.78769494283586</c:v>
                </c:pt>
                <c:pt idx="41">
                  <c:v>203.42074623793906</c:v>
                </c:pt>
                <c:pt idx="42">
                  <c:v>202.92116695899421</c:v>
                </c:pt>
                <c:pt idx="43">
                  <c:v>202.05444810743464</c:v>
                </c:pt>
                <c:pt idx="44">
                  <c:v>201.1889659002203</c:v>
                </c:pt>
                <c:pt idx="45">
                  <c:v>200.68881383873889</c:v>
                </c:pt>
                <c:pt idx="46">
                  <c:v>199.82242116439286</c:v>
                </c:pt>
                <c:pt idx="47">
                  <c:v>198.45654436173174</c:v>
                </c:pt>
                <c:pt idx="48">
                  <c:v>198.45654436173174</c:v>
                </c:pt>
                <c:pt idx="49">
                  <c:v>197.0913493789111</c:v>
                </c:pt>
                <c:pt idx="50">
                  <c:v>196.22436138257655</c:v>
                </c:pt>
                <c:pt idx="51">
                  <c:v>195.72685048301369</c:v>
                </c:pt>
                <c:pt idx="52">
                  <c:v>194.85892332659543</c:v>
                </c:pt>
                <c:pt idx="53">
                  <c:v>193.49418595916518</c:v>
                </c:pt>
                <c:pt idx="54">
                  <c:v>192.62658175859323</c:v>
                </c:pt>
                <c:pt idx="55">
                  <c:v>192.13016421166145</c:v>
                </c:pt>
                <c:pt idx="56">
                  <c:v>191.26160095534075</c:v>
                </c:pt>
                <c:pt idx="57">
                  <c:v>191.26160095534075</c:v>
                </c:pt>
                <c:pt idx="58">
                  <c:v>190.3943276465977</c:v>
                </c:pt>
                <c:pt idx="59">
                  <c:v>189.02909828912584</c:v>
                </c:pt>
                <c:pt idx="60">
                  <c:v>187.66459442313567</c:v>
                </c:pt>
                <c:pt idx="61">
                  <c:v>186.79668091269716</c:v>
                </c:pt>
                <c:pt idx="62">
                  <c:v>186.79668091269716</c:v>
                </c:pt>
                <c:pt idx="63">
                  <c:v>186.79668091269716</c:v>
                </c:pt>
                <c:pt idx="64">
                  <c:v>185.43192821086663</c:v>
                </c:pt>
                <c:pt idx="65">
                  <c:v>185.43192821086663</c:v>
                </c:pt>
                <c:pt idx="66">
                  <c:v>183.19934497699495</c:v>
                </c:pt>
                <c:pt idx="67">
                  <c:v>181.8350901228913</c:v>
                </c:pt>
                <c:pt idx="68">
                  <c:v>180.47160441465576</c:v>
                </c:pt>
                <c:pt idx="69">
                  <c:v>180.47160441465576</c:v>
                </c:pt>
                <c:pt idx="70">
                  <c:v>178.73443988218946</c:v>
                </c:pt>
                <c:pt idx="71">
                  <c:v>178.73443988218946</c:v>
                </c:pt>
                <c:pt idx="72">
                  <c:v>177.36967046256808</c:v>
                </c:pt>
                <c:pt idx="73">
                  <c:v>177.36967046256808</c:v>
                </c:pt>
                <c:pt idx="74">
                  <c:v>176.50212463310464</c:v>
                </c:pt>
                <c:pt idx="75">
                  <c:v>175.13708916160505</c:v>
                </c:pt>
                <c:pt idx="76">
                  <c:v>173.77284022539311</c:v>
                </c:pt>
                <c:pt idx="77">
                  <c:v>173.77284022539311</c:v>
                </c:pt>
                <c:pt idx="78">
                  <c:v>172.90459797240788</c:v>
                </c:pt>
                <c:pt idx="79">
                  <c:v>171.54008277950666</c:v>
                </c:pt>
                <c:pt idx="80">
                  <c:v>170.67220043111882</c:v>
                </c:pt>
                <c:pt idx="81">
                  <c:v>170.67220043111882</c:v>
                </c:pt>
                <c:pt idx="82">
                  <c:v>169.30741271426953</c:v>
                </c:pt>
                <c:pt idx="83">
                  <c:v>169.30741271426953</c:v>
                </c:pt>
                <c:pt idx="84">
                  <c:v>167.94344286098223</c:v>
                </c:pt>
                <c:pt idx="85">
                  <c:v>167.0748335327616</c:v>
                </c:pt>
                <c:pt idx="86">
                  <c:v>167.0748335327616</c:v>
                </c:pt>
                <c:pt idx="87">
                  <c:v>165.71059109181888</c:v>
                </c:pt>
                <c:pt idx="88">
                  <c:v>164.84234892769516</c:v>
                </c:pt>
                <c:pt idx="89">
                  <c:v>163.97560794215707</c:v>
                </c:pt>
                <c:pt idx="90">
                  <c:v>163.97560794215707</c:v>
                </c:pt>
                <c:pt idx="91">
                  <c:v>162.60996279441184</c:v>
                </c:pt>
                <c:pt idx="92">
                  <c:v>161.74362429474616</c:v>
                </c:pt>
                <c:pt idx="93">
                  <c:v>161.74362429474616</c:v>
                </c:pt>
                <c:pt idx="94">
                  <c:v>161.74362429474616</c:v>
                </c:pt>
                <c:pt idx="95">
                  <c:v>161.24515496597098</c:v>
                </c:pt>
                <c:pt idx="96">
                  <c:v>161.24515496597098</c:v>
                </c:pt>
                <c:pt idx="97">
                  <c:v>161.24515496597098</c:v>
                </c:pt>
                <c:pt idx="98">
                  <c:v>161.24515496597098</c:v>
                </c:pt>
                <c:pt idx="99">
                  <c:v>161.24515496597098</c:v>
                </c:pt>
                <c:pt idx="100">
                  <c:v>161.24515496597098</c:v>
                </c:pt>
                <c:pt idx="101">
                  <c:v>162.11415730897781</c:v>
                </c:pt>
                <c:pt idx="102">
                  <c:v>162.60996279441184</c:v>
                </c:pt>
                <c:pt idx="103">
                  <c:v>162.60996279441184</c:v>
                </c:pt>
                <c:pt idx="104">
                  <c:v>162.60996279441184</c:v>
                </c:pt>
                <c:pt idx="105">
                  <c:v>163.97560794215707</c:v>
                </c:pt>
                <c:pt idx="106">
                  <c:v>163.97560794215707</c:v>
                </c:pt>
                <c:pt idx="107">
                  <c:v>164.47796204963143</c:v>
                </c:pt>
                <c:pt idx="108">
                  <c:v>164.47796204963143</c:v>
                </c:pt>
                <c:pt idx="109">
                  <c:v>164.98484778912274</c:v>
                </c:pt>
                <c:pt idx="110">
                  <c:v>165.84631439980811</c:v>
                </c:pt>
                <c:pt idx="111">
                  <c:v>165.84631439980811</c:v>
                </c:pt>
                <c:pt idx="112">
                  <c:v>166.35504200354134</c:v>
                </c:pt>
                <c:pt idx="113">
                  <c:v>166.35504200354134</c:v>
                </c:pt>
                <c:pt idx="114">
                  <c:v>167.72596698186004</c:v>
                </c:pt>
                <c:pt idx="115">
                  <c:v>167.72596698186004</c:v>
                </c:pt>
                <c:pt idx="116">
                  <c:v>168.5852899869974</c:v>
                </c:pt>
                <c:pt idx="117">
                  <c:v>169.09760495051373</c:v>
                </c:pt>
                <c:pt idx="118">
                  <c:v>169.09760495051373</c:v>
                </c:pt>
                <c:pt idx="119">
                  <c:v>169.95587662684687</c:v>
                </c:pt>
                <c:pt idx="120">
                  <c:v>171.32717239247253</c:v>
                </c:pt>
                <c:pt idx="121">
                  <c:v>171.32717239247253</c:v>
                </c:pt>
                <c:pt idx="122">
                  <c:v>172.69916039170545</c:v>
                </c:pt>
                <c:pt idx="123">
                  <c:v>172.69916039170545</c:v>
                </c:pt>
                <c:pt idx="124">
                  <c:v>173.55690709389816</c:v>
                </c:pt>
                <c:pt idx="125">
                  <c:v>174.07182425654074</c:v>
                </c:pt>
                <c:pt idx="126">
                  <c:v>174.59095051004218</c:v>
                </c:pt>
                <c:pt idx="127">
                  <c:v>175.44514812328097</c:v>
                </c:pt>
                <c:pt idx="128">
                  <c:v>175.44514812328097</c:v>
                </c:pt>
                <c:pt idx="129">
                  <c:v>175.96590578859303</c:v>
                </c:pt>
                <c:pt idx="130">
                  <c:v>176.81911661356077</c:v>
                </c:pt>
                <c:pt idx="131">
                  <c:v>177.34147850968199</c:v>
                </c:pt>
                <c:pt idx="132">
                  <c:v>178.1937148162078</c:v>
                </c:pt>
                <c:pt idx="133">
                  <c:v>178.1937148162078</c:v>
                </c:pt>
                <c:pt idx="134">
                  <c:v>179.0474797365213</c:v>
                </c:pt>
                <c:pt idx="135">
                  <c:v>179.56892826989863</c:v>
                </c:pt>
                <c:pt idx="136">
                  <c:v>180.42172818150257</c:v>
                </c:pt>
                <c:pt idx="137">
                  <c:v>180.42172818150257</c:v>
                </c:pt>
                <c:pt idx="138">
                  <c:v>181.27603261324978</c:v>
                </c:pt>
                <c:pt idx="139">
                  <c:v>181.79658962697843</c:v>
                </c:pt>
                <c:pt idx="140">
                  <c:v>181.79658962697843</c:v>
                </c:pt>
                <c:pt idx="141">
                  <c:v>181.47176088857461</c:v>
                </c:pt>
                <c:pt idx="142">
                  <c:v>181.47176088857461</c:v>
                </c:pt>
                <c:pt idx="143">
                  <c:v>181.47176088857461</c:v>
                </c:pt>
                <c:pt idx="144">
                  <c:v>181.47176088857461</c:v>
                </c:pt>
                <c:pt idx="145">
                  <c:v>182.00274723201295</c:v>
                </c:pt>
                <c:pt idx="146">
                  <c:v>182.00274723201295</c:v>
                </c:pt>
                <c:pt idx="147">
                  <c:v>182.00274723201295</c:v>
                </c:pt>
                <c:pt idx="148">
                  <c:v>182.00274723201295</c:v>
                </c:pt>
                <c:pt idx="149">
                  <c:v>182.53766734567415</c:v>
                </c:pt>
                <c:pt idx="150">
                  <c:v>182.53766734567415</c:v>
                </c:pt>
                <c:pt idx="151">
                  <c:v>182.53766734567415</c:v>
                </c:pt>
                <c:pt idx="152">
                  <c:v>182.53766734567415</c:v>
                </c:pt>
                <c:pt idx="153">
                  <c:v>182.53766734567415</c:v>
                </c:pt>
                <c:pt idx="154">
                  <c:v>183.38211472223784</c:v>
                </c:pt>
                <c:pt idx="155">
                  <c:v>183.38211472223784</c:v>
                </c:pt>
                <c:pt idx="156">
                  <c:v>183.91846019364124</c:v>
                </c:pt>
                <c:pt idx="157">
                  <c:v>183.91846019364124</c:v>
                </c:pt>
                <c:pt idx="158">
                  <c:v>183.07648674802562</c:v>
                </c:pt>
                <c:pt idx="159">
                  <c:v>183.07648674802562</c:v>
                </c:pt>
                <c:pt idx="160">
                  <c:v>183.07648674802562</c:v>
                </c:pt>
                <c:pt idx="161">
                  <c:v>182.7812900709479</c:v>
                </c:pt>
                <c:pt idx="162">
                  <c:v>183.61917111238685</c:v>
                </c:pt>
                <c:pt idx="163">
                  <c:v>183.61917111238685</c:v>
                </c:pt>
                <c:pt idx="164">
                  <c:v>185.00270268296083</c:v>
                </c:pt>
                <c:pt idx="165">
                  <c:v>186.3866948041088</c:v>
                </c:pt>
                <c:pt idx="166">
                  <c:v>186.3866948041088</c:v>
                </c:pt>
                <c:pt idx="167">
                  <c:v>187.22446421341417</c:v>
                </c:pt>
                <c:pt idx="168">
                  <c:v>188.60805921274945</c:v>
                </c:pt>
                <c:pt idx="169">
                  <c:v>189.44656238633627</c:v>
                </c:pt>
                <c:pt idx="170">
                  <c:v>190.82976707002501</c:v>
                </c:pt>
                <c:pt idx="171">
                  <c:v>191.66898549321954</c:v>
                </c:pt>
                <c:pt idx="172">
                  <c:v>193.89172236070317</c:v>
                </c:pt>
                <c:pt idx="173">
                  <c:v>195.27416623813812</c:v>
                </c:pt>
                <c:pt idx="174">
                  <c:v>196.65706191235543</c:v>
                </c:pt>
                <c:pt idx="175">
                  <c:v>196.65706191235543</c:v>
                </c:pt>
                <c:pt idx="176">
                  <c:v>197.49683541768459</c:v>
                </c:pt>
                <c:pt idx="177">
                  <c:v>198.8793604173143</c:v>
                </c:pt>
                <c:pt idx="178">
                  <c:v>198.8793604173143</c:v>
                </c:pt>
                <c:pt idx="179">
                  <c:v>200.26232796010336</c:v>
                </c:pt>
                <c:pt idx="180">
                  <c:v>200.26232796010336</c:v>
                </c:pt>
                <c:pt idx="181">
                  <c:v>203.86760409638407</c:v>
                </c:pt>
                <c:pt idx="182">
                  <c:v>203.86760409638407</c:v>
                </c:pt>
                <c:pt idx="183">
                  <c:v>204.41379601191306</c:v>
                </c:pt>
                <c:pt idx="184">
                  <c:v>205.25106577067999</c:v>
                </c:pt>
                <c:pt idx="185">
                  <c:v>207.18349355100662</c:v>
                </c:pt>
                <c:pt idx="186">
                  <c:v>207.18349355100662</c:v>
                </c:pt>
                <c:pt idx="187">
                  <c:v>208.568933448872</c:v>
                </c:pt>
                <c:pt idx="188">
                  <c:v>209.95475703112803</c:v>
                </c:pt>
                <c:pt idx="189">
                  <c:v>210.78899402008636</c:v>
                </c:pt>
                <c:pt idx="190">
                  <c:v>211.3409567499873</c:v>
                </c:pt>
                <c:pt idx="191">
                  <c:v>212.72752525237536</c:v>
                </c:pt>
                <c:pt idx="192">
                  <c:v>212.72752525237536</c:v>
                </c:pt>
                <c:pt idx="193">
                  <c:v>213.01643129110957</c:v>
                </c:pt>
                <c:pt idx="194">
                  <c:v>213.01643129110957</c:v>
                </c:pt>
                <c:pt idx="195">
                  <c:v>212.4547010541306</c:v>
                </c:pt>
                <c:pt idx="196">
                  <c:v>212.17445652104308</c:v>
                </c:pt>
                <c:pt idx="197">
                  <c:v>211.3764414498456</c:v>
                </c:pt>
                <c:pt idx="198">
                  <c:v>210.62288574606512</c:v>
                </c:pt>
                <c:pt idx="199">
                  <c:v>209.91426821443082</c:v>
                </c:pt>
                <c:pt idx="200">
                  <c:v>209.25104539762759</c:v>
                </c:pt>
                <c:pt idx="201">
                  <c:v>209.124364912365</c:v>
                </c:pt>
                <c:pt idx="202">
                  <c:v>207.66318884193223</c:v>
                </c:pt>
                <c:pt idx="203">
                  <c:v>207.5885353289049</c:v>
                </c:pt>
                <c:pt idx="204">
                  <c:v>207.07728026029315</c:v>
                </c:pt>
                <c:pt idx="205">
                  <c:v>207.51144546747295</c:v>
                </c:pt>
                <c:pt idx="206">
                  <c:v>207.50903594783529</c:v>
                </c:pt>
                <c:pt idx="207">
                  <c:v>207.06762180505189</c:v>
                </c:pt>
                <c:pt idx="208">
                  <c:v>207.06762180505189</c:v>
                </c:pt>
                <c:pt idx="209">
                  <c:v>207.06762180505189</c:v>
                </c:pt>
                <c:pt idx="210">
                  <c:v>207.53072061745462</c:v>
                </c:pt>
                <c:pt idx="211">
                  <c:v>206.67123650861529</c:v>
                </c:pt>
                <c:pt idx="212">
                  <c:v>207.15453169071634</c:v>
                </c:pt>
                <c:pt idx="213">
                  <c:v>207.15453169071634</c:v>
                </c:pt>
                <c:pt idx="214">
                  <c:v>206.73654732533385</c:v>
                </c:pt>
                <c:pt idx="215">
                  <c:v>206.0218435020908</c:v>
                </c:pt>
                <c:pt idx="216">
                  <c:v>205.62587385832552</c:v>
                </c:pt>
                <c:pt idx="217">
                  <c:v>205.23401277566055</c:v>
                </c:pt>
                <c:pt idx="218">
                  <c:v>204.46271053666484</c:v>
                </c:pt>
                <c:pt idx="219">
                  <c:v>204.08331631958552</c:v>
                </c:pt>
                <c:pt idx="220">
                  <c:v>203.33715843396652</c:v>
                </c:pt>
                <c:pt idx="221">
                  <c:v>203.54115063052976</c:v>
                </c:pt>
                <c:pt idx="222">
                  <c:v>202.8324431643025</c:v>
                </c:pt>
                <c:pt idx="223">
                  <c:v>202.48456731316588</c:v>
                </c:pt>
                <c:pt idx="224">
                  <c:v>201.8018830437417</c:v>
                </c:pt>
                <c:pt idx="225">
                  <c:v>202.08166665979377</c:v>
                </c:pt>
                <c:pt idx="226">
                  <c:v>201.43733516902967</c:v>
                </c:pt>
                <c:pt idx="227">
                  <c:v>201.76223630798702</c:v>
                </c:pt>
                <c:pt idx="228">
                  <c:v>200.8606482116395</c:v>
                </c:pt>
                <c:pt idx="229">
                  <c:v>201.24114887368339</c:v>
                </c:pt>
                <c:pt idx="230">
                  <c:v>200.4120754844877</c:v>
                </c:pt>
                <c:pt idx="231">
                  <c:v>199.88246546408217</c:v>
                </c:pt>
                <c:pt idx="232">
                  <c:v>200.09247861926244</c:v>
                </c:pt>
                <c:pt idx="233">
                  <c:v>199.6121238802894</c:v>
                </c:pt>
                <c:pt idx="234">
                  <c:v>198.70832896484234</c:v>
                </c:pt>
                <c:pt idx="235">
                  <c:v>198.49433241279209</c:v>
                </c:pt>
                <c:pt idx="236">
                  <c:v>198.08079159777205</c:v>
                </c:pt>
                <c:pt idx="237">
                  <c:v>197.88127753782064</c:v>
                </c:pt>
                <c:pt idx="238">
                  <c:v>196.51463049859672</c:v>
                </c:pt>
                <c:pt idx="239">
                  <c:v>196.14790337905731</c:v>
                </c:pt>
                <c:pt idx="240">
                  <c:v>195.16403357176239</c:v>
                </c:pt>
                <c:pt idx="241">
                  <c:v>195.16403357176239</c:v>
                </c:pt>
                <c:pt idx="242">
                  <c:v>194.36306233438492</c:v>
                </c:pt>
                <c:pt idx="243">
                  <c:v>194.36306233438492</c:v>
                </c:pt>
                <c:pt idx="244">
                  <c:v>193.56910910576616</c:v>
                </c:pt>
                <c:pt idx="245">
                  <c:v>192.58764238652489</c:v>
                </c:pt>
                <c:pt idx="246">
                  <c:v>191.60636732634956</c:v>
                </c:pt>
                <c:pt idx="247">
                  <c:v>191.60636732634956</c:v>
                </c:pt>
                <c:pt idx="248">
                  <c:v>190.62528688503002</c:v>
                </c:pt>
                <c:pt idx="249">
                  <c:v>190.62528688503002</c:v>
                </c:pt>
                <c:pt idx="250">
                  <c:v>189.64440408301004</c:v>
                </c:pt>
                <c:pt idx="251">
                  <c:v>189.64440408301004</c:v>
                </c:pt>
                <c:pt idx="252">
                  <c:v>188.47015678881365</c:v>
                </c:pt>
                <c:pt idx="253">
                  <c:v>188.47015678881365</c:v>
                </c:pt>
                <c:pt idx="254">
                  <c:v>188.47015678881365</c:v>
                </c:pt>
                <c:pt idx="255">
                  <c:v>187.68324379123459</c:v>
                </c:pt>
                <c:pt idx="256">
                  <c:v>187.88294228055935</c:v>
                </c:pt>
                <c:pt idx="257">
                  <c:v>187.1095935541521</c:v>
                </c:pt>
                <c:pt idx="258">
                  <c:v>187.32058082335749</c:v>
                </c:pt>
                <c:pt idx="259">
                  <c:v>187.32058082335749</c:v>
                </c:pt>
                <c:pt idx="260">
                  <c:v>186.34376834227646</c:v>
                </c:pt>
                <c:pt idx="261">
                  <c:v>186.34376834227646</c:v>
                </c:pt>
                <c:pt idx="262">
                  <c:v>186.34376834227646</c:v>
                </c:pt>
                <c:pt idx="263">
                  <c:v>186.34376834227646</c:v>
                </c:pt>
                <c:pt idx="264">
                  <c:v>185.58555978308226</c:v>
                </c:pt>
                <c:pt idx="265">
                  <c:v>185.58555978308226</c:v>
                </c:pt>
                <c:pt idx="266">
                  <c:v>185.58555978308226</c:v>
                </c:pt>
                <c:pt idx="267">
                  <c:v>184.83506160899236</c:v>
                </c:pt>
                <c:pt idx="268">
                  <c:v>185.06485349736184</c:v>
                </c:pt>
                <c:pt idx="269">
                  <c:v>185.06485349736184</c:v>
                </c:pt>
                <c:pt idx="270">
                  <c:v>184.83506160899236</c:v>
                </c:pt>
                <c:pt idx="271">
                  <c:v>183.86136081297778</c:v>
                </c:pt>
                <c:pt idx="272">
                  <c:v>183.86136081297778</c:v>
                </c:pt>
                <c:pt idx="273">
                  <c:v>183.86136081297778</c:v>
                </c:pt>
                <c:pt idx="274">
                  <c:v>182.8879438344693</c:v>
                </c:pt>
                <c:pt idx="275">
                  <c:v>182.6608879864543</c:v>
                </c:pt>
                <c:pt idx="276">
                  <c:v>181.68654325513489</c:v>
                </c:pt>
                <c:pt idx="277">
                  <c:v>181.46349495146399</c:v>
                </c:pt>
                <c:pt idx="278">
                  <c:v>181.46349495146399</c:v>
                </c:pt>
                <c:pt idx="279">
                  <c:v>180.05554698481245</c:v>
                </c:pt>
                <c:pt idx="280">
                  <c:v>180.05554698481245</c:v>
                </c:pt>
                <c:pt idx="281">
                  <c:v>180.05554698481245</c:v>
                </c:pt>
                <c:pt idx="282">
                  <c:v>178.53851125177448</c:v>
                </c:pt>
                <c:pt idx="283">
                  <c:v>178.37320426566319</c:v>
                </c:pt>
                <c:pt idx="284">
                  <c:v>179.20100446147057</c:v>
                </c:pt>
                <c:pt idx="285">
                  <c:v>179.20100446147057</c:v>
                </c:pt>
                <c:pt idx="286">
                  <c:v>178.2133552795637</c:v>
                </c:pt>
                <c:pt idx="287">
                  <c:v>178.37320426566319</c:v>
                </c:pt>
                <c:pt idx="288">
                  <c:v>178.53851125177448</c:v>
                </c:pt>
                <c:pt idx="289">
                  <c:v>178.70926109186397</c:v>
                </c:pt>
                <c:pt idx="290">
                  <c:v>178.70926109186397</c:v>
                </c:pt>
                <c:pt idx="291">
                  <c:v>178.70926109186397</c:v>
                </c:pt>
                <c:pt idx="292">
                  <c:v>178.70926109186397</c:v>
                </c:pt>
                <c:pt idx="293">
                  <c:v>178.70926109186397</c:v>
                </c:pt>
                <c:pt idx="294">
                  <c:v>178.70926109186397</c:v>
                </c:pt>
                <c:pt idx="295">
                  <c:v>178.88543819998318</c:v>
                </c:pt>
                <c:pt idx="296">
                  <c:v>179.86939706353607</c:v>
                </c:pt>
                <c:pt idx="297">
                  <c:v>179.86939706353607</c:v>
                </c:pt>
                <c:pt idx="298">
                  <c:v>179.6941846582688</c:v>
                </c:pt>
                <c:pt idx="299">
                  <c:v>180.5103875127412</c:v>
                </c:pt>
                <c:pt idx="300">
                  <c:v>180.34688796871433</c:v>
                </c:pt>
                <c:pt idx="301">
                  <c:v>180.18878988438766</c:v>
                </c:pt>
                <c:pt idx="302">
                  <c:v>180.87841220001906</c:v>
                </c:pt>
                <c:pt idx="303">
                  <c:v>180.60177186284747</c:v>
                </c:pt>
                <c:pt idx="304">
                  <c:v>180.34688796871433</c:v>
                </c:pt>
                <c:pt idx="305">
                  <c:v>180.1138528820035</c:v>
                </c:pt>
                <c:pt idx="306">
                  <c:v>180.89776118017602</c:v>
                </c:pt>
                <c:pt idx="307">
                  <c:v>180.70971196922429</c:v>
                </c:pt>
                <c:pt idx="308">
                  <c:v>180.54362353736008</c:v>
                </c:pt>
                <c:pt idx="309">
                  <c:v>180.39955654047489</c:v>
                </c:pt>
                <c:pt idx="310">
                  <c:v>180.27756377319946</c:v>
                </c:pt>
                <c:pt idx="311">
                  <c:v>180.22485955050706</c:v>
                </c:pt>
                <c:pt idx="312">
                  <c:v>180.17769007288334</c:v>
                </c:pt>
                <c:pt idx="313">
                  <c:v>180.13605968822566</c:v>
                </c:pt>
                <c:pt idx="314">
                  <c:v>180.13605968822566</c:v>
                </c:pt>
                <c:pt idx="315">
                  <c:v>180.13605968822566</c:v>
                </c:pt>
                <c:pt idx="316">
                  <c:v>180.17769007288334</c:v>
                </c:pt>
                <c:pt idx="317">
                  <c:v>180.17769007288334</c:v>
                </c:pt>
                <c:pt idx="318">
                  <c:v>180.17769007288334</c:v>
                </c:pt>
                <c:pt idx="319">
                  <c:v>180.17769007288334</c:v>
                </c:pt>
                <c:pt idx="320">
                  <c:v>180.17769007288334</c:v>
                </c:pt>
                <c:pt idx="321">
                  <c:v>180.22485955050706</c:v>
                </c:pt>
                <c:pt idx="322">
                  <c:v>180.22485955050706</c:v>
                </c:pt>
                <c:pt idx="323">
                  <c:v>180.17769007288334</c:v>
                </c:pt>
                <c:pt idx="324">
                  <c:v>179.13681921927719</c:v>
                </c:pt>
                <c:pt idx="325">
                  <c:v>179.10053042914194</c:v>
                </c:pt>
                <c:pt idx="326">
                  <c:v>179.06981878585793</c:v>
                </c:pt>
                <c:pt idx="327">
                  <c:v>178.04493814764857</c:v>
                </c:pt>
                <c:pt idx="328">
                  <c:v>178.04493814764857</c:v>
                </c:pt>
                <c:pt idx="329">
                  <c:v>178.04493814764857</c:v>
                </c:pt>
                <c:pt idx="330">
                  <c:v>178.04493814764857</c:v>
                </c:pt>
                <c:pt idx="331">
                  <c:v>177.02542190318317</c:v>
                </c:pt>
                <c:pt idx="332">
                  <c:v>177.02542190318317</c:v>
                </c:pt>
                <c:pt idx="333">
                  <c:v>177.02542190318317</c:v>
                </c:pt>
                <c:pt idx="334">
                  <c:v>176.0113632695344</c:v>
                </c:pt>
                <c:pt idx="335">
                  <c:v>176.0113632695344</c:v>
                </c:pt>
                <c:pt idx="336">
                  <c:v>176.0113632695344</c:v>
                </c:pt>
                <c:pt idx="337">
                  <c:v>175.0114281982751</c:v>
                </c:pt>
                <c:pt idx="338">
                  <c:v>175.0028571195339</c:v>
                </c:pt>
                <c:pt idx="339">
                  <c:v>175.0028571195339</c:v>
                </c:pt>
                <c:pt idx="340">
                  <c:v>175.0028571195339</c:v>
                </c:pt>
                <c:pt idx="341">
                  <c:v>174.00287353949071</c:v>
                </c:pt>
                <c:pt idx="342">
                  <c:v>174.00287353949071</c:v>
                </c:pt>
                <c:pt idx="343">
                  <c:v>174.00287353949071</c:v>
                </c:pt>
                <c:pt idx="344">
                  <c:v>174</c:v>
                </c:pt>
                <c:pt idx="345">
                  <c:v>174</c:v>
                </c:pt>
                <c:pt idx="346">
                  <c:v>173</c:v>
                </c:pt>
                <c:pt idx="347">
                  <c:v>173</c:v>
                </c:pt>
                <c:pt idx="348">
                  <c:v>173</c:v>
                </c:pt>
                <c:pt idx="349">
                  <c:v>173</c:v>
                </c:pt>
                <c:pt idx="350">
                  <c:v>173</c:v>
                </c:pt>
                <c:pt idx="351">
                  <c:v>173</c:v>
                </c:pt>
                <c:pt idx="352">
                  <c:v>173</c:v>
                </c:pt>
                <c:pt idx="353">
                  <c:v>173.00289014926889</c:v>
                </c:pt>
                <c:pt idx="354">
                  <c:v>173.01156030739679</c:v>
                </c:pt>
                <c:pt idx="355">
                  <c:v>173.01156030739679</c:v>
                </c:pt>
                <c:pt idx="356">
                  <c:v>172.02616080119907</c:v>
                </c:pt>
                <c:pt idx="357">
                  <c:v>172.04650534085255</c:v>
                </c:pt>
                <c:pt idx="358">
                  <c:v>172.04650534085255</c:v>
                </c:pt>
                <c:pt idx="359">
                  <c:v>172.04650534085255</c:v>
                </c:pt>
                <c:pt idx="360">
                  <c:v>171.02631376487071</c:v>
                </c:pt>
                <c:pt idx="361">
                  <c:v>171.02631376487071</c:v>
                </c:pt>
                <c:pt idx="362">
                  <c:v>170.02646852769718</c:v>
                </c:pt>
                <c:pt idx="363">
                  <c:v>170.02646852769718</c:v>
                </c:pt>
                <c:pt idx="364">
                  <c:v>169.0266251216062</c:v>
                </c:pt>
                <c:pt idx="365">
                  <c:v>169.0266251216062</c:v>
                </c:pt>
                <c:pt idx="366">
                  <c:v>168.04761230080004</c:v>
                </c:pt>
                <c:pt idx="367">
                  <c:v>168.04761230080004</c:v>
                </c:pt>
                <c:pt idx="368">
                  <c:v>168.02678357928536</c:v>
                </c:pt>
                <c:pt idx="369">
                  <c:v>168.02678357928536</c:v>
                </c:pt>
                <c:pt idx="370">
                  <c:v>168.02678357928536</c:v>
                </c:pt>
                <c:pt idx="371">
                  <c:v>168.02678357928536</c:v>
                </c:pt>
                <c:pt idx="372">
                  <c:v>168.02678357928536</c:v>
                </c:pt>
                <c:pt idx="373">
                  <c:v>169.0266251216062</c:v>
                </c:pt>
                <c:pt idx="374">
                  <c:v>169.04733065032408</c:v>
                </c:pt>
                <c:pt idx="375">
                  <c:v>170.04705231199981</c:v>
                </c:pt>
                <c:pt idx="376">
                  <c:v>170.04705231199981</c:v>
                </c:pt>
                <c:pt idx="377">
                  <c:v>170.07351351694948</c:v>
                </c:pt>
                <c:pt idx="378">
                  <c:v>171.10523077919038</c:v>
                </c:pt>
                <c:pt idx="379">
                  <c:v>171.10523077919038</c:v>
                </c:pt>
                <c:pt idx="380">
                  <c:v>172.10461934532728</c:v>
                </c:pt>
                <c:pt idx="381">
                  <c:v>172.10461934532728</c:v>
                </c:pt>
                <c:pt idx="382">
                  <c:v>172.10461934532728</c:v>
                </c:pt>
                <c:pt idx="383">
                  <c:v>172.10461934532728</c:v>
                </c:pt>
                <c:pt idx="384">
                  <c:v>171.04677722775136</c:v>
                </c:pt>
                <c:pt idx="385">
                  <c:v>171.02631376487071</c:v>
                </c:pt>
                <c:pt idx="386">
                  <c:v>171.02631376487071</c:v>
                </c:pt>
                <c:pt idx="387">
                  <c:v>170.02646852769718</c:v>
                </c:pt>
                <c:pt idx="388">
                  <c:v>170.02646852769718</c:v>
                </c:pt>
                <c:pt idx="389">
                  <c:v>169.0266251216062</c:v>
                </c:pt>
                <c:pt idx="390">
                  <c:v>169.0266251216062</c:v>
                </c:pt>
                <c:pt idx="391">
                  <c:v>169.0266251216062</c:v>
                </c:pt>
                <c:pt idx="392">
                  <c:v>169.00295855398508</c:v>
                </c:pt>
                <c:pt idx="393">
                  <c:v>169.00295855398508</c:v>
                </c:pt>
                <c:pt idx="394">
                  <c:v>169.00295855398508</c:v>
                </c:pt>
                <c:pt idx="395">
                  <c:v>169.00295855398508</c:v>
                </c:pt>
                <c:pt idx="396">
                  <c:v>169.00295855398508</c:v>
                </c:pt>
                <c:pt idx="397">
                  <c:v>169.00295855398508</c:v>
                </c:pt>
                <c:pt idx="398">
                  <c:v>169.00295855398508</c:v>
                </c:pt>
                <c:pt idx="399">
                  <c:v>168.01190434013895</c:v>
                </c:pt>
                <c:pt idx="400">
                  <c:v>168.01190434013895</c:v>
                </c:pt>
                <c:pt idx="401">
                  <c:v>168.02678357928536</c:v>
                </c:pt>
                <c:pt idx="402">
                  <c:v>167.02694393420481</c:v>
                </c:pt>
                <c:pt idx="403">
                  <c:v>167.04789732289359</c:v>
                </c:pt>
                <c:pt idx="404">
                  <c:v>165.07574019219177</c:v>
                </c:pt>
                <c:pt idx="405">
                  <c:v>164.07620180879371</c:v>
                </c:pt>
                <c:pt idx="406">
                  <c:v>164.07620180879371</c:v>
                </c:pt>
                <c:pt idx="407">
                  <c:v>162.07714212682799</c:v>
                </c:pt>
                <c:pt idx="408">
                  <c:v>162.07714212682799</c:v>
                </c:pt>
                <c:pt idx="409">
                  <c:v>162.07714212682799</c:v>
                </c:pt>
                <c:pt idx="410">
                  <c:v>160.07810593582121</c:v>
                </c:pt>
                <c:pt idx="411">
                  <c:v>160.07810593582121</c:v>
                </c:pt>
                <c:pt idx="412">
                  <c:v>159.05030650709227</c:v>
                </c:pt>
                <c:pt idx="413">
                  <c:v>159.05030650709227</c:v>
                </c:pt>
                <c:pt idx="414">
                  <c:v>158.02847844613325</c:v>
                </c:pt>
                <c:pt idx="415">
                  <c:v>157.05094714773293</c:v>
                </c:pt>
                <c:pt idx="416">
                  <c:v>157.05094714773293</c:v>
                </c:pt>
                <c:pt idx="417">
                  <c:v>157.02865980450829</c:v>
                </c:pt>
                <c:pt idx="418">
                  <c:v>157.00318468107582</c:v>
                </c:pt>
                <c:pt idx="419">
                  <c:v>157.00318468107582</c:v>
                </c:pt>
                <c:pt idx="420">
                  <c:v>157.00318468107582</c:v>
                </c:pt>
                <c:pt idx="421">
                  <c:v>156.00320509528001</c:v>
                </c:pt>
                <c:pt idx="422">
                  <c:v>151.08275877809487</c:v>
                </c:pt>
                <c:pt idx="423">
                  <c:v>151.08275877809487</c:v>
                </c:pt>
                <c:pt idx="424">
                  <c:v>150.05332385522155</c:v>
                </c:pt>
                <c:pt idx="425">
                  <c:v>149.05368160498418</c:v>
                </c:pt>
                <c:pt idx="426">
                  <c:v>149.03019828209315</c:v>
                </c:pt>
                <c:pt idx="427">
                  <c:v>149.03019828209315</c:v>
                </c:pt>
                <c:pt idx="428">
                  <c:v>150.02999700059985</c:v>
                </c:pt>
                <c:pt idx="429">
                  <c:v>150.02999700059985</c:v>
                </c:pt>
                <c:pt idx="430">
                  <c:v>150.0133327407934</c:v>
                </c:pt>
                <c:pt idx="431">
                  <c:v>151.00331122197287</c:v>
                </c:pt>
                <c:pt idx="432">
                  <c:v>151.00331122197287</c:v>
                </c:pt>
                <c:pt idx="433">
                  <c:v>151.00331122197287</c:v>
                </c:pt>
                <c:pt idx="434">
                  <c:v>151.01324445226649</c:v>
                </c:pt>
                <c:pt idx="435">
                  <c:v>151.01324445226649</c:v>
                </c:pt>
                <c:pt idx="436">
                  <c:v>151.02979838429235</c:v>
                </c:pt>
                <c:pt idx="437">
                  <c:v>151.05297084135751</c:v>
                </c:pt>
                <c:pt idx="438">
                  <c:v>151.08275877809487</c:v>
                </c:pt>
                <c:pt idx="439">
                  <c:v>150.21318184500319</c:v>
                </c:pt>
                <c:pt idx="440">
                  <c:v>150.26975743641833</c:v>
                </c:pt>
                <c:pt idx="441">
                  <c:v>149.4824404403407</c:v>
                </c:pt>
                <c:pt idx="442">
                  <c:v>148.66068747318505</c:v>
                </c:pt>
                <c:pt idx="443">
                  <c:v>148.66068747318505</c:v>
                </c:pt>
                <c:pt idx="444">
                  <c:v>148.75819305167698</c:v>
                </c:pt>
                <c:pt idx="445">
                  <c:v>147.97972834141845</c:v>
                </c:pt>
                <c:pt idx="446">
                  <c:v>147.23111084278349</c:v>
                </c:pt>
                <c:pt idx="447">
                  <c:v>146.65946952038249</c:v>
                </c:pt>
                <c:pt idx="448">
                  <c:v>145.98630072715727</c:v>
                </c:pt>
                <c:pt idx="449">
                  <c:v>145.71547618561317</c:v>
                </c:pt>
                <c:pt idx="450">
                  <c:v>144.58561477546789</c:v>
                </c:pt>
                <c:pt idx="451">
                  <c:v>143.84018909887459</c:v>
                </c:pt>
                <c:pt idx="452">
                  <c:v>142.33762678926468</c:v>
                </c:pt>
                <c:pt idx="453">
                  <c:v>142.00352108310554</c:v>
                </c:pt>
                <c:pt idx="454">
                  <c:v>140.38874598770374</c:v>
                </c:pt>
                <c:pt idx="455">
                  <c:v>139.61733416735902</c:v>
                </c:pt>
                <c:pt idx="456">
                  <c:v>140.43147795277241</c:v>
                </c:pt>
                <c:pt idx="457">
                  <c:v>139.67104209534631</c:v>
                </c:pt>
                <c:pt idx="458">
                  <c:v>138.23168956501979</c:v>
                </c:pt>
                <c:pt idx="459">
                  <c:v>137.84411485442533</c:v>
                </c:pt>
                <c:pt idx="460">
                  <c:v>137.63720427268203</c:v>
                </c:pt>
                <c:pt idx="461">
                  <c:v>136.40014662748717</c:v>
                </c:pt>
                <c:pt idx="462">
                  <c:v>135.2479205015737</c:v>
                </c:pt>
                <c:pt idx="463">
                  <c:v>134.18271125595876</c:v>
                </c:pt>
                <c:pt idx="464">
                  <c:v>133.2066064427737</c:v>
                </c:pt>
                <c:pt idx="465">
                  <c:v>132.32157798333574</c:v>
                </c:pt>
                <c:pt idx="466">
                  <c:v>130.81666560496029</c:v>
                </c:pt>
                <c:pt idx="467">
                  <c:v>130.13838787997952</c:v>
                </c:pt>
                <c:pt idx="468">
                  <c:v>128.8875478857442</c:v>
                </c:pt>
                <c:pt idx="469">
                  <c:v>127.7810627597063</c:v>
                </c:pt>
                <c:pt idx="470">
                  <c:v>126.65701717630967</c:v>
                </c:pt>
                <c:pt idx="471">
                  <c:v>126.40015822774906</c:v>
                </c:pt>
                <c:pt idx="472">
                  <c:v>125.4312560727987</c:v>
                </c:pt>
                <c:pt idx="473">
                  <c:v>125.09996003196804</c:v>
                </c:pt>
                <c:pt idx="474">
                  <c:v>124.25779653607253</c:v>
                </c:pt>
                <c:pt idx="475">
                  <c:v>124.86793023030373</c:v>
                </c:pt>
                <c:pt idx="476">
                  <c:v>123.82245353731285</c:v>
                </c:pt>
                <c:pt idx="477">
                  <c:v>123.664869708418</c:v>
                </c:pt>
                <c:pt idx="478">
                  <c:v>123.06502346320826</c:v>
                </c:pt>
                <c:pt idx="479">
                  <c:v>123.43419299367578</c:v>
                </c:pt>
                <c:pt idx="480">
                  <c:v>123.00406497347964</c:v>
                </c:pt>
                <c:pt idx="481">
                  <c:v>123.48279232346505</c:v>
                </c:pt>
                <c:pt idx="482">
                  <c:v>123.5677951571525</c:v>
                </c:pt>
                <c:pt idx="483">
                  <c:v>123.16655390161731</c:v>
                </c:pt>
                <c:pt idx="484">
                  <c:v>122.7721466783081</c:v>
                </c:pt>
                <c:pt idx="485">
                  <c:v>122.7721466783081</c:v>
                </c:pt>
                <c:pt idx="486">
                  <c:v>122.7721466783081</c:v>
                </c:pt>
                <c:pt idx="487">
                  <c:v>122.7721466783081</c:v>
                </c:pt>
                <c:pt idx="488">
                  <c:v>122.7721466783081</c:v>
                </c:pt>
                <c:pt idx="489">
                  <c:v>122.38463955905577</c:v>
                </c:pt>
                <c:pt idx="490">
                  <c:v>121.46192819151193</c:v>
                </c:pt>
                <c:pt idx="491">
                  <c:v>121.46192819151193</c:v>
                </c:pt>
                <c:pt idx="492">
                  <c:v>121.46192819151193</c:v>
                </c:pt>
                <c:pt idx="493">
                  <c:v>121.46192819151193</c:v>
                </c:pt>
                <c:pt idx="494">
                  <c:v>121.07848694132248</c:v>
                </c:pt>
                <c:pt idx="495">
                  <c:v>122.00409829181969</c:v>
                </c:pt>
                <c:pt idx="496">
                  <c:v>122.00409829181969</c:v>
                </c:pt>
                <c:pt idx="497">
                  <c:v>121.63058825805291</c:v>
                </c:pt>
                <c:pt idx="498">
                  <c:v>120.90492132250036</c:v>
                </c:pt>
                <c:pt idx="499">
                  <c:v>119.87076374162301</c:v>
                </c:pt>
                <c:pt idx="500">
                  <c:v>119.21828718783037</c:v>
                </c:pt>
                <c:pt idx="501">
                  <c:v>118.59595271340417</c:v>
                </c:pt>
                <c:pt idx="502">
                  <c:v>118.00423721205946</c:v>
                </c:pt>
                <c:pt idx="503">
                  <c:v>117.44360348695028</c:v>
                </c:pt>
                <c:pt idx="504">
                  <c:v>117.17508267545622</c:v>
                </c:pt>
                <c:pt idx="505">
                  <c:v>115.69356075426151</c:v>
                </c:pt>
                <c:pt idx="506">
                  <c:v>114.97825881443848</c:v>
                </c:pt>
                <c:pt idx="507">
                  <c:v>114.97825881443848</c:v>
                </c:pt>
                <c:pt idx="508">
                  <c:v>114.75626344561765</c:v>
                </c:pt>
                <c:pt idx="509">
                  <c:v>113.35784048754634</c:v>
                </c:pt>
                <c:pt idx="510">
                  <c:v>112.96902230257638</c:v>
                </c:pt>
                <c:pt idx="511">
                  <c:v>112.61438629233834</c:v>
                </c:pt>
                <c:pt idx="512">
                  <c:v>112.44998888394787</c:v>
                </c:pt>
                <c:pt idx="513">
                  <c:v>112.29425630903836</c:v>
                </c:pt>
                <c:pt idx="514">
                  <c:v>112.14722466472365</c:v>
                </c:pt>
                <c:pt idx="515">
                  <c:v>112.00892821556681</c:v>
                </c:pt>
                <c:pt idx="516">
                  <c:v>110.8873302050329</c:v>
                </c:pt>
                <c:pt idx="517">
                  <c:v>111.64676439557037</c:v>
                </c:pt>
                <c:pt idx="518">
                  <c:v>111.44954015158609</c:v>
                </c:pt>
                <c:pt idx="519">
                  <c:v>111.36426715962351</c:v>
                </c:pt>
                <c:pt idx="520">
                  <c:v>111.36426715962351</c:v>
                </c:pt>
                <c:pt idx="521">
                  <c:v>112.28535078094559</c:v>
                </c:pt>
                <c:pt idx="522">
                  <c:v>113.1591799192624</c:v>
                </c:pt>
                <c:pt idx="523">
                  <c:v>114.0701538527936</c:v>
                </c:pt>
                <c:pt idx="524">
                  <c:v>114.03946685248927</c:v>
                </c:pt>
                <c:pt idx="525">
                  <c:v>114.00438588054409</c:v>
                </c:pt>
                <c:pt idx="526">
                  <c:v>115.0173899895142</c:v>
                </c:pt>
                <c:pt idx="527">
                  <c:v>114.0701538527936</c:v>
                </c:pt>
                <c:pt idx="528">
                  <c:v>114.10959644131601</c:v>
                </c:pt>
                <c:pt idx="529">
                  <c:v>114.15778554264269</c:v>
                </c:pt>
                <c:pt idx="530">
                  <c:v>114.15778554264269</c:v>
                </c:pt>
                <c:pt idx="531">
                  <c:v>114.0701538527936</c:v>
                </c:pt>
                <c:pt idx="532">
                  <c:v>113.03981599418853</c:v>
                </c:pt>
                <c:pt idx="533">
                  <c:v>113.01769772916099</c:v>
                </c:pt>
                <c:pt idx="534">
                  <c:v>112.01785571952357</c:v>
                </c:pt>
                <c:pt idx="535">
                  <c:v>112.04017136723775</c:v>
                </c:pt>
                <c:pt idx="536">
                  <c:v>112.04017136723775</c:v>
                </c:pt>
                <c:pt idx="537">
                  <c:v>112.04017136723775</c:v>
                </c:pt>
                <c:pt idx="538">
                  <c:v>112.01785571952357</c:v>
                </c:pt>
                <c:pt idx="539">
                  <c:v>111.01801655587259</c:v>
                </c:pt>
                <c:pt idx="540">
                  <c:v>112.01785571952357</c:v>
                </c:pt>
                <c:pt idx="541">
                  <c:v>112.01785571952357</c:v>
                </c:pt>
                <c:pt idx="542">
                  <c:v>112.04017136723775</c:v>
                </c:pt>
                <c:pt idx="543">
                  <c:v>112.04017136723775</c:v>
                </c:pt>
                <c:pt idx="544">
                  <c:v>112.0714058089752</c:v>
                </c:pt>
                <c:pt idx="545">
                  <c:v>112.0714058089752</c:v>
                </c:pt>
                <c:pt idx="546">
                  <c:v>112.0714058089752</c:v>
                </c:pt>
                <c:pt idx="547">
                  <c:v>113.11056537742175</c:v>
                </c:pt>
                <c:pt idx="548">
                  <c:v>113.1591799192624</c:v>
                </c:pt>
                <c:pt idx="549">
                  <c:v>113.1591799192624</c:v>
                </c:pt>
                <c:pt idx="550">
                  <c:v>113.11056537742175</c:v>
                </c:pt>
                <c:pt idx="551">
                  <c:v>113.07077429645558</c:v>
                </c:pt>
                <c:pt idx="552">
                  <c:v>114.0701538527936</c:v>
                </c:pt>
                <c:pt idx="553">
                  <c:v>114.0701538527936</c:v>
                </c:pt>
                <c:pt idx="554">
                  <c:v>114.0701538527936</c:v>
                </c:pt>
                <c:pt idx="555">
                  <c:v>114.0701538527936</c:v>
                </c:pt>
                <c:pt idx="556">
                  <c:v>114.10959644131601</c:v>
                </c:pt>
                <c:pt idx="557">
                  <c:v>114.10959644131601</c:v>
                </c:pt>
                <c:pt idx="558">
                  <c:v>114.15778554264269</c:v>
                </c:pt>
                <c:pt idx="559">
                  <c:v>114.15778554264269</c:v>
                </c:pt>
                <c:pt idx="560">
                  <c:v>114.10959644131601</c:v>
                </c:pt>
                <c:pt idx="561">
                  <c:v>114.10959644131601</c:v>
                </c:pt>
                <c:pt idx="562">
                  <c:v>114.0701538527936</c:v>
                </c:pt>
                <c:pt idx="563">
                  <c:v>114.03946685248927</c:v>
                </c:pt>
                <c:pt idx="564">
                  <c:v>113.03981599418853</c:v>
                </c:pt>
                <c:pt idx="565">
                  <c:v>113.07077429645558</c:v>
                </c:pt>
                <c:pt idx="566">
                  <c:v>113.07077429645558</c:v>
                </c:pt>
                <c:pt idx="567">
                  <c:v>114.10959644131601</c:v>
                </c:pt>
                <c:pt idx="568">
                  <c:v>114.10959644131601</c:v>
                </c:pt>
                <c:pt idx="569">
                  <c:v>114.10959644131601</c:v>
                </c:pt>
                <c:pt idx="570">
                  <c:v>114.10959644131601</c:v>
                </c:pt>
                <c:pt idx="571">
                  <c:v>114.0701538527936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3EE-4F57-A30C-5B2CFCC08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628447"/>
        <c:axId val="28634687"/>
      </c:scatterChart>
      <c:valAx>
        <c:axId val="28628447"/>
        <c:scaling>
          <c:orientation val="minMax"/>
          <c:max val="0.74339940000000015"/>
          <c:min val="0.7361112000000000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hh:mm:ss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634687"/>
        <c:crosses val="autoZero"/>
        <c:crossBetween val="midCat"/>
      </c:valAx>
      <c:valAx>
        <c:axId val="28634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62844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ACD8B42-80AA-446C-B23A-9C39AF221EEE}">
  <sheetPr/>
  <sheetViews>
    <sheetView tabSelected="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1400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6502F8-8B43-F4B9-989F-262B5205F69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392430</xdr:colOff>
      <xdr:row>14</xdr:row>
      <xdr:rowOff>87630</xdr:rowOff>
    </xdr:from>
    <xdr:to>
      <xdr:col>45</xdr:col>
      <xdr:colOff>87630</xdr:colOff>
      <xdr:row>29</xdr:row>
      <xdr:rowOff>87630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1571160-1695-23D5-16E7-4118EFC3A1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A10E9-589E-4238-A02F-C9B9AABC1A78}">
  <dimension ref="A1:EA573"/>
  <sheetViews>
    <sheetView topLeftCell="AC1" workbookViewId="0">
      <selection activeCell="BB1" activeCellId="1" sqref="C1:C1048576 BB1:BB1048576"/>
    </sheetView>
  </sheetViews>
  <sheetFormatPr defaultRowHeight="14.5" x14ac:dyDescent="0.35"/>
  <cols>
    <col min="1" max="1" width="11.453125" style="2" bestFit="1" customWidth="1"/>
    <col min="2" max="2" width="9.453125" style="4" bestFit="1" customWidth="1"/>
    <col min="3" max="3" width="9.453125" style="4" customWidth="1"/>
    <col min="4" max="4" width="21.36328125" style="3" customWidth="1"/>
    <col min="5" max="5" width="21.36328125" style="2" customWidth="1"/>
    <col min="54" max="54" width="9.453125" style="1" bestFit="1" customWidth="1"/>
  </cols>
  <sheetData>
    <row r="1" spans="1:131" x14ac:dyDescent="0.35">
      <c r="BB1" s="1" t="s">
        <v>1155</v>
      </c>
    </row>
    <row r="2" spans="1:131" x14ac:dyDescent="0.35">
      <c r="A2" s="2" t="s">
        <v>0</v>
      </c>
      <c r="B2" s="4" t="s">
        <v>1159</v>
      </c>
      <c r="C2" s="4" t="s">
        <v>1160</v>
      </c>
      <c r="D2" s="3" t="s">
        <v>1158</v>
      </c>
      <c r="E2" s="2" t="s">
        <v>1157</v>
      </c>
      <c r="F2" t="s">
        <v>1</v>
      </c>
      <c r="G2" t="s">
        <v>2</v>
      </c>
      <c r="H2" t="s">
        <v>3</v>
      </c>
      <c r="I2" t="s">
        <v>4</v>
      </c>
      <c r="J2" t="s">
        <v>5</v>
      </c>
      <c r="K2" t="s">
        <v>6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12</v>
      </c>
      <c r="R2" t="s">
        <v>13</v>
      </c>
      <c r="S2" t="s">
        <v>14</v>
      </c>
      <c r="T2" t="s">
        <v>15</v>
      </c>
      <c r="U2" t="s">
        <v>16</v>
      </c>
      <c r="V2" t="s">
        <v>17</v>
      </c>
      <c r="W2" t="s">
        <v>18</v>
      </c>
      <c r="X2" t="s">
        <v>19</v>
      </c>
      <c r="Y2" t="s">
        <v>20</v>
      </c>
      <c r="Z2" t="s">
        <v>21</v>
      </c>
      <c r="AA2" t="s">
        <v>22</v>
      </c>
      <c r="AB2" t="s">
        <v>23</v>
      </c>
      <c r="AC2" t="s">
        <v>24</v>
      </c>
      <c r="AD2" t="s">
        <v>25</v>
      </c>
      <c r="AE2" t="s">
        <v>26</v>
      </c>
      <c r="AF2" t="s">
        <v>27</v>
      </c>
      <c r="AG2" t="s">
        <v>28</v>
      </c>
      <c r="AH2" t="s">
        <v>29</v>
      </c>
      <c r="AI2" t="s">
        <v>30</v>
      </c>
      <c r="AJ2" t="s">
        <v>31</v>
      </c>
      <c r="AK2" t="s">
        <v>32</v>
      </c>
      <c r="AL2" t="s">
        <v>33</v>
      </c>
      <c r="AM2" t="s">
        <v>34</v>
      </c>
      <c r="AN2" t="s">
        <v>35</v>
      </c>
      <c r="AO2" t="s">
        <v>36</v>
      </c>
      <c r="AP2" t="s">
        <v>37</v>
      </c>
      <c r="AQ2" t="s">
        <v>38</v>
      </c>
      <c r="AR2" t="s">
        <v>39</v>
      </c>
      <c r="AS2" t="s">
        <v>40</v>
      </c>
      <c r="AT2" t="s">
        <v>41</v>
      </c>
      <c r="AU2" t="s">
        <v>42</v>
      </c>
      <c r="AV2" t="s">
        <v>43</v>
      </c>
      <c r="AW2" t="s">
        <v>44</v>
      </c>
      <c r="AX2" t="s">
        <v>45</v>
      </c>
      <c r="AZ2" t="s">
        <v>1153</v>
      </c>
      <c r="BA2" t="s">
        <v>1154</v>
      </c>
      <c r="BB2" s="1" t="s">
        <v>1156</v>
      </c>
      <c r="BC2" t="s">
        <v>46</v>
      </c>
      <c r="BD2" t="s">
        <v>47</v>
      </c>
      <c r="BE2" t="s">
        <v>48</v>
      </c>
      <c r="BF2" t="s">
        <v>49</v>
      </c>
      <c r="BG2" t="s">
        <v>50</v>
      </c>
      <c r="BH2" t="s">
        <v>51</v>
      </c>
      <c r="BI2" t="s">
        <v>52</v>
      </c>
      <c r="BJ2" t="s">
        <v>53</v>
      </c>
      <c r="BK2" t="s">
        <v>54</v>
      </c>
      <c r="BL2" t="s">
        <v>55</v>
      </c>
      <c r="BM2" t="s">
        <v>56</v>
      </c>
      <c r="BN2" t="s">
        <v>57</v>
      </c>
      <c r="BO2" t="s">
        <v>58</v>
      </c>
      <c r="BP2" t="s">
        <v>59</v>
      </c>
      <c r="BQ2" t="s">
        <v>60</v>
      </c>
      <c r="BR2" t="s">
        <v>61</v>
      </c>
      <c r="BS2" t="s">
        <v>62</v>
      </c>
      <c r="BT2" t="s">
        <v>63</v>
      </c>
      <c r="BU2" t="s">
        <v>64</v>
      </c>
      <c r="BV2" t="s">
        <v>65</v>
      </c>
      <c r="BW2" t="s">
        <v>66</v>
      </c>
      <c r="BX2" t="s">
        <v>67</v>
      </c>
      <c r="BY2" t="s">
        <v>68</v>
      </c>
      <c r="BZ2" t="s">
        <v>69</v>
      </c>
      <c r="CA2" t="s">
        <v>70</v>
      </c>
      <c r="CB2" t="s">
        <v>71</v>
      </c>
      <c r="CC2" t="s">
        <v>72</v>
      </c>
      <c r="CD2" t="s">
        <v>73</v>
      </c>
      <c r="CE2" t="s">
        <v>74</v>
      </c>
      <c r="CF2" t="s">
        <v>75</v>
      </c>
      <c r="CG2" t="s">
        <v>76</v>
      </c>
      <c r="CH2" t="s">
        <v>77</v>
      </c>
      <c r="CI2" t="s">
        <v>78</v>
      </c>
      <c r="CJ2" t="s">
        <v>79</v>
      </c>
      <c r="CK2" t="s">
        <v>80</v>
      </c>
      <c r="CL2" t="s">
        <v>81</v>
      </c>
      <c r="CM2" t="s">
        <v>82</v>
      </c>
      <c r="CN2" t="s">
        <v>83</v>
      </c>
      <c r="CO2" t="s">
        <v>84</v>
      </c>
      <c r="CP2" t="s">
        <v>85</v>
      </c>
      <c r="CQ2" t="s">
        <v>86</v>
      </c>
      <c r="CR2" t="s">
        <v>87</v>
      </c>
      <c r="CS2" t="s">
        <v>88</v>
      </c>
      <c r="CT2" t="s">
        <v>89</v>
      </c>
      <c r="CU2" t="s">
        <v>90</v>
      </c>
      <c r="CV2" t="s">
        <v>91</v>
      </c>
      <c r="CW2" t="s">
        <v>92</v>
      </c>
      <c r="CX2" t="s">
        <v>93</v>
      </c>
      <c r="CY2" t="s">
        <v>94</v>
      </c>
      <c r="CZ2" t="s">
        <v>95</v>
      </c>
      <c r="DA2" t="s">
        <v>96</v>
      </c>
      <c r="DB2" t="s">
        <v>97</v>
      </c>
      <c r="DC2" t="s">
        <v>98</v>
      </c>
      <c r="DD2" t="s">
        <v>99</v>
      </c>
      <c r="DE2" t="s">
        <v>100</v>
      </c>
      <c r="DF2" t="s">
        <v>101</v>
      </c>
      <c r="DG2" t="s">
        <v>102</v>
      </c>
      <c r="DH2" t="s">
        <v>103</v>
      </c>
      <c r="DI2" t="s">
        <v>104</v>
      </c>
      <c r="DJ2" t="s">
        <v>105</v>
      </c>
      <c r="DK2" t="s">
        <v>106</v>
      </c>
      <c r="DL2" t="s">
        <v>107</v>
      </c>
      <c r="DM2" t="s">
        <v>108</v>
      </c>
      <c r="DN2" t="s">
        <v>109</v>
      </c>
      <c r="DO2" t="s">
        <v>110</v>
      </c>
      <c r="DP2" t="s">
        <v>111</v>
      </c>
      <c r="DQ2" t="s">
        <v>112</v>
      </c>
      <c r="DR2" t="s">
        <v>113</v>
      </c>
      <c r="DS2" t="s">
        <v>114</v>
      </c>
      <c r="DT2" t="s">
        <v>115</v>
      </c>
      <c r="DU2" t="s">
        <v>116</v>
      </c>
      <c r="DV2" t="s">
        <v>117</v>
      </c>
      <c r="DW2" t="s">
        <v>118</v>
      </c>
      <c r="DX2" t="s">
        <v>119</v>
      </c>
      <c r="DY2" t="s">
        <v>120</v>
      </c>
      <c r="DZ2" t="s">
        <v>121</v>
      </c>
      <c r="EA2" t="s">
        <v>122</v>
      </c>
    </row>
    <row r="3" spans="1:131" x14ac:dyDescent="0.35">
      <c r="A3" s="2" t="str">
        <f>"17:40:00.004"</f>
        <v>17:40:00.004</v>
      </c>
      <c r="B3" s="4">
        <f>E3*86400</f>
        <v>63600.004000000001</v>
      </c>
      <c r="C3" s="4">
        <f>B3-63600</f>
        <v>4.0000000008149073E-3</v>
      </c>
      <c r="D3" s="3">
        <f>E3</f>
        <v>0.7361111574074074</v>
      </c>
      <c r="E3" s="2">
        <f>TIMEVALUE(A3)</f>
        <v>0.7361111574074074</v>
      </c>
      <c r="G3" t="str">
        <f t="shared" ref="G3:G66" si="0">"FFDFD7C0"</f>
        <v>FFDFD7C0</v>
      </c>
      <c r="H3" t="s">
        <v>126</v>
      </c>
      <c r="I3">
        <v>8</v>
      </c>
      <c r="J3">
        <v>1008</v>
      </c>
      <c r="K3" t="s">
        <v>129</v>
      </c>
      <c r="N3" t="s">
        <v>127</v>
      </c>
      <c r="O3">
        <v>0</v>
      </c>
      <c r="P3">
        <v>3</v>
      </c>
      <c r="Q3">
        <v>0</v>
      </c>
      <c r="R3">
        <v>2</v>
      </c>
      <c r="S3">
        <v>1</v>
      </c>
      <c r="T3">
        <v>0</v>
      </c>
      <c r="U3">
        <v>0</v>
      </c>
      <c r="W3" t="str">
        <f>"17:39:59.734"</f>
        <v>17:39:59.734</v>
      </c>
      <c r="X3" t="str">
        <f>"17:39:59.334"</f>
        <v>17:39:59.334</v>
      </c>
      <c r="Y3" t="str">
        <f t="shared" ref="Y3:Y66" si="1">"A7C771"</f>
        <v>A7C771</v>
      </c>
      <c r="Z3">
        <v>0</v>
      </c>
      <c r="AA3">
        <v>0</v>
      </c>
      <c r="AB3">
        <v>2</v>
      </c>
      <c r="AC3">
        <v>0</v>
      </c>
      <c r="AE3">
        <v>0</v>
      </c>
      <c r="AF3">
        <v>8</v>
      </c>
      <c r="AG3">
        <v>3</v>
      </c>
      <c r="AH3">
        <v>0</v>
      </c>
      <c r="AI3">
        <v>9</v>
      </c>
      <c r="AJ3" t="s">
        <v>125</v>
      </c>
      <c r="AK3">
        <v>0</v>
      </c>
      <c r="AL3">
        <v>3</v>
      </c>
      <c r="AM3">
        <v>2</v>
      </c>
      <c r="AN3">
        <v>1</v>
      </c>
      <c r="AO3" t="s">
        <v>140</v>
      </c>
      <c r="AP3">
        <v>42.704822999999998</v>
      </c>
      <c r="AQ3" t="s">
        <v>141</v>
      </c>
      <c r="AR3">
        <v>-77.749364</v>
      </c>
      <c r="AS3">
        <v>25</v>
      </c>
      <c r="AT3">
        <v>3750</v>
      </c>
      <c r="AU3" t="s">
        <v>123</v>
      </c>
      <c r="AV3">
        <v>143</v>
      </c>
      <c r="AW3">
        <v>226</v>
      </c>
      <c r="AX3">
        <v>-1216</v>
      </c>
      <c r="AZ3">
        <f>(AV3)^2</f>
        <v>20449</v>
      </c>
      <c r="BA3">
        <f>(AW3)^2</f>
        <v>51076</v>
      </c>
      <c r="BB3" s="1">
        <f>SQRT(AZ3+BA3)</f>
        <v>267.44158240632663</v>
      </c>
      <c r="BJ3">
        <v>1404</v>
      </c>
      <c r="BK3">
        <v>1</v>
      </c>
      <c r="BL3" t="str">
        <f t="shared" ref="BL3:BL66" si="2">"N600C   "</f>
        <v xml:space="preserve">N600C   </v>
      </c>
      <c r="BM3">
        <v>2</v>
      </c>
      <c r="BO3">
        <v>0</v>
      </c>
      <c r="BP3">
        <v>0</v>
      </c>
      <c r="BQ3">
        <v>0</v>
      </c>
      <c r="BR3">
        <v>3875</v>
      </c>
      <c r="BS3">
        <v>125</v>
      </c>
      <c r="BT3" t="s">
        <v>128</v>
      </c>
      <c r="BU3">
        <v>0</v>
      </c>
      <c r="BV3">
        <v>0</v>
      </c>
      <c r="BW3">
        <v>0</v>
      </c>
      <c r="BX3">
        <v>1</v>
      </c>
      <c r="CA3">
        <v>0</v>
      </c>
      <c r="CB3">
        <v>0</v>
      </c>
      <c r="CC3">
        <v>0</v>
      </c>
      <c r="CM3" t="str">
        <f>"17:39:59.736"</f>
        <v>17:39:59.736</v>
      </c>
      <c r="CN3">
        <v>736393693</v>
      </c>
      <c r="CQ3">
        <v>0</v>
      </c>
      <c r="CR3">
        <v>4000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2</v>
      </c>
      <c r="DC3">
        <v>0</v>
      </c>
      <c r="DD3">
        <v>2</v>
      </c>
      <c r="DE3">
        <v>0</v>
      </c>
      <c r="DF3">
        <v>7</v>
      </c>
      <c r="DG3">
        <v>7</v>
      </c>
      <c r="DH3" t="s">
        <v>124</v>
      </c>
      <c r="DI3">
        <v>71</v>
      </c>
      <c r="DJ3">
        <v>2</v>
      </c>
      <c r="DK3" t="s">
        <v>134</v>
      </c>
      <c r="DL3" t="s">
        <v>135</v>
      </c>
      <c r="DO3">
        <v>681445</v>
      </c>
      <c r="DQ3">
        <v>0</v>
      </c>
      <c r="DR3">
        <v>0</v>
      </c>
      <c r="DS3">
        <v>1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</row>
    <row r="4" spans="1:131" x14ac:dyDescent="0.35">
      <c r="A4" s="2" t="str">
        <f>"17:40:01.161"</f>
        <v>17:40:01.161</v>
      </c>
      <c r="B4" s="4">
        <f>E4*86400</f>
        <v>63601.161</v>
      </c>
      <c r="C4" s="4">
        <f t="shared" ref="C4:C67" si="3">B4-63600</f>
        <v>1.1610000000000582</v>
      </c>
      <c r="D4" s="3">
        <f t="shared" ref="D4:D67" si="4">E4</f>
        <v>0.7361245486111111</v>
      </c>
      <c r="E4" s="2">
        <f t="shared" ref="E4:E67" si="5">TIMEVALUE(A4)</f>
        <v>0.7361245486111111</v>
      </c>
      <c r="G4" t="str">
        <f t="shared" si="0"/>
        <v>FFDFD7C0</v>
      </c>
      <c r="H4" t="s">
        <v>126</v>
      </c>
      <c r="I4">
        <v>8</v>
      </c>
      <c r="J4">
        <v>1008</v>
      </c>
      <c r="K4" t="s">
        <v>129</v>
      </c>
      <c r="N4" t="s">
        <v>127</v>
      </c>
      <c r="O4">
        <v>0</v>
      </c>
      <c r="P4">
        <v>3</v>
      </c>
      <c r="Q4">
        <v>0</v>
      </c>
      <c r="R4">
        <v>2</v>
      </c>
      <c r="S4">
        <v>1</v>
      </c>
      <c r="T4">
        <v>0</v>
      </c>
      <c r="U4">
        <v>0</v>
      </c>
      <c r="W4" t="str">
        <f>"17:40:00.805"</f>
        <v>17:40:00.805</v>
      </c>
      <c r="X4" t="str">
        <f>"17:40:00.805"</f>
        <v>17:40:00.805</v>
      </c>
      <c r="Y4" t="str">
        <f t="shared" si="1"/>
        <v>A7C771</v>
      </c>
      <c r="Z4">
        <v>0</v>
      </c>
      <c r="AA4">
        <v>0</v>
      </c>
      <c r="AB4">
        <v>2</v>
      </c>
      <c r="AC4">
        <v>0</v>
      </c>
      <c r="AE4">
        <v>0</v>
      </c>
      <c r="AF4">
        <v>8</v>
      </c>
      <c r="AG4">
        <v>3</v>
      </c>
      <c r="AH4">
        <v>0</v>
      </c>
      <c r="AI4">
        <v>9</v>
      </c>
      <c r="AJ4" t="s">
        <v>125</v>
      </c>
      <c r="AK4">
        <v>0</v>
      </c>
      <c r="AL4">
        <v>3</v>
      </c>
      <c r="AM4">
        <v>2</v>
      </c>
      <c r="AN4">
        <v>1</v>
      </c>
      <c r="AO4" t="s">
        <v>142</v>
      </c>
      <c r="AP4">
        <v>42.705959999999997</v>
      </c>
      <c r="AQ4" t="s">
        <v>143</v>
      </c>
      <c r="AR4">
        <v>-77.748399000000006</v>
      </c>
      <c r="AS4">
        <v>25</v>
      </c>
      <c r="AT4">
        <v>3725</v>
      </c>
      <c r="AU4" t="s">
        <v>123</v>
      </c>
      <c r="AV4">
        <v>142</v>
      </c>
      <c r="AW4">
        <v>226</v>
      </c>
      <c r="AX4">
        <v>-1152</v>
      </c>
      <c r="AZ4">
        <f t="shared" ref="AZ4:AZ67" si="6">(AV4)^2</f>
        <v>20164</v>
      </c>
      <c r="BA4">
        <f t="shared" ref="BA4:BA67" si="7">(AW4)^2</f>
        <v>51076</v>
      </c>
      <c r="BB4" s="1">
        <f t="shared" ref="BB4:BB67" si="8">SQRT(AZ4+BA4)</f>
        <v>266.90822392725181</v>
      </c>
      <c r="BJ4">
        <v>1404</v>
      </c>
      <c r="BK4">
        <v>1</v>
      </c>
      <c r="BL4" t="str">
        <f t="shared" si="2"/>
        <v xml:space="preserve">N600C   </v>
      </c>
      <c r="BM4">
        <v>2</v>
      </c>
      <c r="BO4">
        <v>0</v>
      </c>
      <c r="BP4">
        <v>0</v>
      </c>
      <c r="BQ4">
        <v>0</v>
      </c>
      <c r="BR4">
        <v>3850</v>
      </c>
      <c r="BS4">
        <v>125</v>
      </c>
      <c r="BT4" t="s">
        <v>128</v>
      </c>
      <c r="BU4">
        <v>0</v>
      </c>
      <c r="BV4">
        <v>0</v>
      </c>
      <c r="BW4">
        <v>0</v>
      </c>
      <c r="BX4">
        <v>1</v>
      </c>
      <c r="CA4">
        <v>0</v>
      </c>
      <c r="CB4">
        <v>0</v>
      </c>
      <c r="CC4">
        <v>0</v>
      </c>
      <c r="CM4" t="str">
        <f>"17:40:00.809"</f>
        <v>17:40:00.809</v>
      </c>
      <c r="CN4">
        <v>808581535</v>
      </c>
      <c r="CQ4">
        <v>0</v>
      </c>
      <c r="CR4">
        <v>4000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2</v>
      </c>
      <c r="DC4">
        <v>0</v>
      </c>
      <c r="DD4">
        <v>2</v>
      </c>
      <c r="DE4">
        <v>0</v>
      </c>
      <c r="DF4">
        <v>7</v>
      </c>
      <c r="DG4">
        <v>7</v>
      </c>
      <c r="DH4" t="s">
        <v>124</v>
      </c>
      <c r="DI4">
        <v>71</v>
      </c>
      <c r="DJ4">
        <v>1</v>
      </c>
      <c r="DK4" t="s">
        <v>134</v>
      </c>
      <c r="DL4" t="s">
        <v>135</v>
      </c>
      <c r="DO4">
        <v>11198723</v>
      </c>
      <c r="DQ4">
        <v>0</v>
      </c>
      <c r="DR4">
        <v>0</v>
      </c>
      <c r="DS4">
        <v>1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</row>
    <row r="5" spans="1:131" x14ac:dyDescent="0.35">
      <c r="A5" s="2" t="str">
        <f>"17:40:01.932"</f>
        <v>17:40:01.932</v>
      </c>
      <c r="B5" s="4">
        <f>E5*86400</f>
        <v>63601.932000000001</v>
      </c>
      <c r="C5" s="4">
        <f t="shared" si="3"/>
        <v>1.9320000000006985</v>
      </c>
      <c r="D5" s="3">
        <f t="shared" si="4"/>
        <v>0.73613347222222225</v>
      </c>
      <c r="E5" s="2">
        <f t="shared" si="5"/>
        <v>0.73613347222222225</v>
      </c>
      <c r="G5" t="str">
        <f t="shared" si="0"/>
        <v>FFDFD7C0</v>
      </c>
      <c r="H5" t="s">
        <v>126</v>
      </c>
      <c r="I5">
        <v>8</v>
      </c>
      <c r="J5">
        <v>1008</v>
      </c>
      <c r="K5" t="s">
        <v>129</v>
      </c>
      <c r="N5" t="s">
        <v>127</v>
      </c>
      <c r="O5">
        <v>0</v>
      </c>
      <c r="P5">
        <v>3</v>
      </c>
      <c r="Q5">
        <v>0</v>
      </c>
      <c r="R5">
        <v>2</v>
      </c>
      <c r="S5">
        <v>1</v>
      </c>
      <c r="T5">
        <v>0</v>
      </c>
      <c r="U5">
        <v>0</v>
      </c>
      <c r="W5" t="str">
        <f>"17:40:01.758"</f>
        <v>17:40:01.758</v>
      </c>
      <c r="X5" t="str">
        <f>"17:40:01.658"</f>
        <v>17:40:01.658</v>
      </c>
      <c r="Y5" t="str">
        <f t="shared" si="1"/>
        <v>A7C771</v>
      </c>
      <c r="Z5">
        <v>0</v>
      </c>
      <c r="AA5">
        <v>0</v>
      </c>
      <c r="AB5">
        <v>2</v>
      </c>
      <c r="AC5">
        <v>0</v>
      </c>
      <c r="AE5">
        <v>0</v>
      </c>
      <c r="AF5">
        <v>8</v>
      </c>
      <c r="AG5">
        <v>3</v>
      </c>
      <c r="AH5">
        <v>0</v>
      </c>
      <c r="AI5">
        <v>9</v>
      </c>
      <c r="AJ5" t="s">
        <v>125</v>
      </c>
      <c r="AK5">
        <v>0</v>
      </c>
      <c r="AL5">
        <v>3</v>
      </c>
      <c r="AM5">
        <v>2</v>
      </c>
      <c r="AN5">
        <v>1</v>
      </c>
      <c r="AO5" t="s">
        <v>144</v>
      </c>
      <c r="AP5">
        <v>42.706969000000001</v>
      </c>
      <c r="AQ5" t="s">
        <v>145</v>
      </c>
      <c r="AR5">
        <v>-77.747497999999993</v>
      </c>
      <c r="AS5">
        <v>25</v>
      </c>
      <c r="AT5">
        <v>3725</v>
      </c>
      <c r="AU5" t="s">
        <v>123</v>
      </c>
      <c r="AV5">
        <v>142</v>
      </c>
      <c r="AW5">
        <v>225</v>
      </c>
      <c r="AX5">
        <v>-1088</v>
      </c>
      <c r="AZ5">
        <f t="shared" si="6"/>
        <v>20164</v>
      </c>
      <c r="BA5">
        <f t="shared" si="7"/>
        <v>50625</v>
      </c>
      <c r="BB5" s="1">
        <f t="shared" si="8"/>
        <v>266.0620228442985</v>
      </c>
      <c r="BJ5">
        <v>1404</v>
      </c>
      <c r="BK5">
        <v>1</v>
      </c>
      <c r="BL5" t="str">
        <f t="shared" si="2"/>
        <v xml:space="preserve">N600C   </v>
      </c>
      <c r="BM5">
        <v>2</v>
      </c>
      <c r="BO5">
        <v>0</v>
      </c>
      <c r="BP5">
        <v>0</v>
      </c>
      <c r="BQ5">
        <v>0</v>
      </c>
      <c r="BR5">
        <v>3825</v>
      </c>
      <c r="BS5">
        <v>100</v>
      </c>
      <c r="BT5" t="s">
        <v>128</v>
      </c>
      <c r="BU5">
        <v>0</v>
      </c>
      <c r="BV5">
        <v>0</v>
      </c>
      <c r="BW5">
        <v>0</v>
      </c>
      <c r="BX5">
        <v>1</v>
      </c>
      <c r="CA5">
        <v>0</v>
      </c>
      <c r="CB5">
        <v>0</v>
      </c>
      <c r="CC5">
        <v>0</v>
      </c>
      <c r="CM5" t="str">
        <f>"17:40:01.761"</f>
        <v>17:40:01.761</v>
      </c>
      <c r="CN5">
        <v>760762606</v>
      </c>
      <c r="CQ5">
        <v>0</v>
      </c>
      <c r="CR5">
        <v>4000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2</v>
      </c>
      <c r="DC5">
        <v>0</v>
      </c>
      <c r="DD5">
        <v>2</v>
      </c>
      <c r="DE5">
        <v>0</v>
      </c>
      <c r="DF5">
        <v>7</v>
      </c>
      <c r="DG5">
        <v>7</v>
      </c>
      <c r="DH5" t="s">
        <v>124</v>
      </c>
      <c r="DI5">
        <v>71</v>
      </c>
      <c r="DJ5">
        <v>2</v>
      </c>
      <c r="DK5" t="s">
        <v>134</v>
      </c>
      <c r="DL5" t="s">
        <v>135</v>
      </c>
      <c r="DO5">
        <v>683367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</row>
    <row r="6" spans="1:131" x14ac:dyDescent="0.35">
      <c r="A6" s="2" t="str">
        <f>"17:40:03.262"</f>
        <v>17:40:03.262</v>
      </c>
      <c r="B6" s="4">
        <f>E6*86400</f>
        <v>63603.262000000002</v>
      </c>
      <c r="C6" s="4">
        <f t="shared" si="3"/>
        <v>3.2620000000024447</v>
      </c>
      <c r="D6" s="3">
        <f t="shared" si="4"/>
        <v>0.73614886574074079</v>
      </c>
      <c r="E6" s="2">
        <f t="shared" si="5"/>
        <v>0.73614886574074079</v>
      </c>
      <c r="G6" t="str">
        <f t="shared" si="0"/>
        <v>FFDFD7C0</v>
      </c>
      <c r="H6" t="s">
        <v>126</v>
      </c>
      <c r="I6">
        <v>8</v>
      </c>
      <c r="J6">
        <v>1008</v>
      </c>
      <c r="K6" t="s">
        <v>129</v>
      </c>
      <c r="N6" t="s">
        <v>127</v>
      </c>
      <c r="O6">
        <v>0</v>
      </c>
      <c r="P6">
        <v>3</v>
      </c>
      <c r="Q6">
        <v>0</v>
      </c>
      <c r="R6">
        <v>2</v>
      </c>
      <c r="S6">
        <v>1</v>
      </c>
      <c r="T6">
        <v>0</v>
      </c>
      <c r="U6">
        <v>0</v>
      </c>
      <c r="W6" t="str">
        <f>"17:40:02.906"</f>
        <v>17:40:02.906</v>
      </c>
      <c r="X6" t="str">
        <f>"17:40:02.506"</f>
        <v>17:40:02.506</v>
      </c>
      <c r="Y6" t="str">
        <f t="shared" si="1"/>
        <v>A7C771</v>
      </c>
      <c r="Z6">
        <v>0</v>
      </c>
      <c r="AA6">
        <v>0</v>
      </c>
      <c r="AB6">
        <v>2</v>
      </c>
      <c r="AC6">
        <v>0</v>
      </c>
      <c r="AE6">
        <v>0</v>
      </c>
      <c r="AF6">
        <v>8</v>
      </c>
      <c r="AG6">
        <v>3</v>
      </c>
      <c r="AH6">
        <v>0</v>
      </c>
      <c r="AI6">
        <v>9</v>
      </c>
      <c r="AJ6" t="s">
        <v>125</v>
      </c>
      <c r="AK6">
        <v>0</v>
      </c>
      <c r="AL6">
        <v>3</v>
      </c>
      <c r="AM6">
        <v>2</v>
      </c>
      <c r="AN6">
        <v>1</v>
      </c>
      <c r="AO6" t="s">
        <v>146</v>
      </c>
      <c r="AP6">
        <v>42.708170000000003</v>
      </c>
      <c r="AQ6" t="s">
        <v>147</v>
      </c>
      <c r="AR6">
        <v>-77.746553000000006</v>
      </c>
      <c r="AS6">
        <v>25</v>
      </c>
      <c r="AT6">
        <v>3700</v>
      </c>
      <c r="AU6" t="s">
        <v>123</v>
      </c>
      <c r="AV6">
        <v>141</v>
      </c>
      <c r="AW6">
        <v>224</v>
      </c>
      <c r="AX6">
        <v>-1152</v>
      </c>
      <c r="AZ6">
        <f t="shared" si="6"/>
        <v>19881</v>
      </c>
      <c r="BA6">
        <f t="shared" si="7"/>
        <v>50176</v>
      </c>
      <c r="BB6" s="1">
        <f t="shared" si="8"/>
        <v>264.68282906150148</v>
      </c>
      <c r="BJ6">
        <v>1404</v>
      </c>
      <c r="BK6">
        <v>1</v>
      </c>
      <c r="BL6" t="str">
        <f t="shared" si="2"/>
        <v xml:space="preserve">N600C   </v>
      </c>
      <c r="BM6">
        <v>2</v>
      </c>
      <c r="BO6">
        <v>0</v>
      </c>
      <c r="BP6">
        <v>0</v>
      </c>
      <c r="BQ6">
        <v>0</v>
      </c>
      <c r="BR6">
        <v>3825</v>
      </c>
      <c r="BS6">
        <v>125</v>
      </c>
      <c r="BT6" t="s">
        <v>128</v>
      </c>
      <c r="BU6">
        <v>0</v>
      </c>
      <c r="BV6">
        <v>0</v>
      </c>
      <c r="BW6">
        <v>0</v>
      </c>
      <c r="BX6">
        <v>1</v>
      </c>
      <c r="CA6">
        <v>0</v>
      </c>
      <c r="CB6">
        <v>0</v>
      </c>
      <c r="CC6">
        <v>0</v>
      </c>
      <c r="CM6" t="str">
        <f>"17:40:02.913"</f>
        <v>17:40:02.913</v>
      </c>
      <c r="CN6">
        <v>912967188</v>
      </c>
      <c r="CQ6">
        <v>0</v>
      </c>
      <c r="CR6">
        <v>4000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2</v>
      </c>
      <c r="DC6">
        <v>0</v>
      </c>
      <c r="DD6">
        <v>2</v>
      </c>
      <c r="DE6">
        <v>0</v>
      </c>
      <c r="DF6">
        <v>7</v>
      </c>
      <c r="DG6">
        <v>7</v>
      </c>
      <c r="DH6" t="s">
        <v>124</v>
      </c>
      <c r="DI6">
        <v>71</v>
      </c>
      <c r="DJ6">
        <v>2</v>
      </c>
      <c r="DK6" t="s">
        <v>134</v>
      </c>
      <c r="DL6" t="s">
        <v>135</v>
      </c>
      <c r="DO6">
        <v>684392</v>
      </c>
      <c r="DQ6">
        <v>0</v>
      </c>
      <c r="DR6">
        <v>0</v>
      </c>
      <c r="DS6">
        <v>1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</row>
    <row r="7" spans="1:131" x14ac:dyDescent="0.35">
      <c r="A7" s="2" t="str">
        <f>"17:40:04.395"</f>
        <v>17:40:04.395</v>
      </c>
      <c r="B7" s="4">
        <f t="shared" ref="B7:B70" si="9">E7*86400</f>
        <v>63604.394999999997</v>
      </c>
      <c r="C7" s="4">
        <f t="shared" si="3"/>
        <v>4.3949999999967986</v>
      </c>
      <c r="D7" s="3">
        <f t="shared" si="4"/>
        <v>0.73616197916666659</v>
      </c>
      <c r="E7" s="2">
        <f t="shared" si="5"/>
        <v>0.73616197916666659</v>
      </c>
      <c r="G7" t="str">
        <f t="shared" si="0"/>
        <v>FFDFD7C0</v>
      </c>
      <c r="H7" t="s">
        <v>126</v>
      </c>
      <c r="I7">
        <v>8</v>
      </c>
      <c r="J7">
        <v>1008</v>
      </c>
      <c r="K7" t="s">
        <v>129</v>
      </c>
      <c r="N7" t="s">
        <v>127</v>
      </c>
      <c r="O7">
        <v>0</v>
      </c>
      <c r="P7">
        <v>3</v>
      </c>
      <c r="Q7">
        <v>0</v>
      </c>
      <c r="R7">
        <v>2</v>
      </c>
      <c r="S7">
        <v>1</v>
      </c>
      <c r="T7">
        <v>0</v>
      </c>
      <c r="U7">
        <v>0</v>
      </c>
      <c r="W7" t="str">
        <f>"17:40:04.086"</f>
        <v>17:40:04.086</v>
      </c>
      <c r="X7" t="str">
        <f>"17:40:03.986"</f>
        <v>17:40:03.986</v>
      </c>
      <c r="Y7" t="str">
        <f t="shared" si="1"/>
        <v>A7C771</v>
      </c>
      <c r="Z7">
        <v>0</v>
      </c>
      <c r="AA7">
        <v>0</v>
      </c>
      <c r="AB7">
        <v>2</v>
      </c>
      <c r="AC7">
        <v>0</v>
      </c>
      <c r="AE7">
        <v>0</v>
      </c>
      <c r="AF7">
        <v>8</v>
      </c>
      <c r="AG7">
        <v>3</v>
      </c>
      <c r="AH7">
        <v>0</v>
      </c>
      <c r="AI7">
        <v>9</v>
      </c>
      <c r="AJ7" t="s">
        <v>125</v>
      </c>
      <c r="AK7">
        <v>0</v>
      </c>
      <c r="AL7">
        <v>3</v>
      </c>
      <c r="AM7">
        <v>2</v>
      </c>
      <c r="AN7">
        <v>1</v>
      </c>
      <c r="AO7" t="s">
        <v>148</v>
      </c>
      <c r="AP7">
        <v>42.709394000000003</v>
      </c>
      <c r="AQ7" t="s">
        <v>149</v>
      </c>
      <c r="AR7">
        <v>-77.745502000000002</v>
      </c>
      <c r="AS7">
        <v>25</v>
      </c>
      <c r="AT7">
        <v>3675</v>
      </c>
      <c r="AU7" t="s">
        <v>123</v>
      </c>
      <c r="AV7">
        <v>140</v>
      </c>
      <c r="AW7">
        <v>224</v>
      </c>
      <c r="AX7">
        <v>-1152</v>
      </c>
      <c r="AZ7">
        <f t="shared" si="6"/>
        <v>19600</v>
      </c>
      <c r="BA7">
        <f t="shared" si="7"/>
        <v>50176</v>
      </c>
      <c r="BB7" s="1">
        <f t="shared" si="8"/>
        <v>264.1514716975849</v>
      </c>
      <c r="BJ7">
        <v>1404</v>
      </c>
      <c r="BK7">
        <v>1</v>
      </c>
      <c r="BL7" t="str">
        <f t="shared" si="2"/>
        <v xml:space="preserve">N600C   </v>
      </c>
      <c r="BM7">
        <v>2</v>
      </c>
      <c r="BO7">
        <v>0</v>
      </c>
      <c r="BP7">
        <v>0</v>
      </c>
      <c r="BQ7">
        <v>0</v>
      </c>
      <c r="BR7">
        <v>3800</v>
      </c>
      <c r="BS7">
        <v>125</v>
      </c>
      <c r="BT7" t="s">
        <v>128</v>
      </c>
      <c r="BU7">
        <v>0</v>
      </c>
      <c r="BV7">
        <v>0</v>
      </c>
      <c r="BW7">
        <v>0</v>
      </c>
      <c r="BX7">
        <v>1</v>
      </c>
      <c r="CA7">
        <v>0</v>
      </c>
      <c r="CB7">
        <v>0</v>
      </c>
      <c r="CC7">
        <v>0</v>
      </c>
      <c r="CM7" t="str">
        <f>"17:40:04.089"</f>
        <v>17:40:04.089</v>
      </c>
      <c r="CN7">
        <v>89184756</v>
      </c>
      <c r="CQ7">
        <v>0</v>
      </c>
      <c r="CR7">
        <v>4000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2</v>
      </c>
      <c r="DC7">
        <v>0</v>
      </c>
      <c r="DD7">
        <v>2</v>
      </c>
      <c r="DE7">
        <v>0</v>
      </c>
      <c r="DF7">
        <v>7</v>
      </c>
      <c r="DG7">
        <v>7</v>
      </c>
      <c r="DH7" t="s">
        <v>124</v>
      </c>
      <c r="DI7">
        <v>71</v>
      </c>
      <c r="DJ7">
        <v>2</v>
      </c>
      <c r="DK7" t="s">
        <v>134</v>
      </c>
      <c r="DL7" t="s">
        <v>135</v>
      </c>
      <c r="DO7">
        <v>685541</v>
      </c>
      <c r="DQ7">
        <v>0</v>
      </c>
      <c r="DR7">
        <v>0</v>
      </c>
      <c r="DS7">
        <v>1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</row>
    <row r="8" spans="1:131" x14ac:dyDescent="0.35">
      <c r="A8" s="2" t="str">
        <f>"17:40:05.432"</f>
        <v>17:40:05.432</v>
      </c>
      <c r="B8" s="4">
        <f t="shared" si="9"/>
        <v>63605.432000000001</v>
      </c>
      <c r="C8" s="4">
        <f t="shared" si="3"/>
        <v>5.4320000000006985</v>
      </c>
      <c r="D8" s="3">
        <f t="shared" si="4"/>
        <v>0.7361739814814815</v>
      </c>
      <c r="E8" s="2">
        <f t="shared" si="5"/>
        <v>0.7361739814814815</v>
      </c>
      <c r="G8" t="str">
        <f t="shared" si="0"/>
        <v>FFDFD7C0</v>
      </c>
      <c r="H8" t="s">
        <v>126</v>
      </c>
      <c r="I8">
        <v>8</v>
      </c>
      <c r="J8">
        <v>1008</v>
      </c>
      <c r="K8" t="s">
        <v>129</v>
      </c>
      <c r="N8" t="s">
        <v>127</v>
      </c>
      <c r="O8">
        <v>0</v>
      </c>
      <c r="P8">
        <v>3</v>
      </c>
      <c r="Q8">
        <v>0</v>
      </c>
      <c r="R8">
        <v>2</v>
      </c>
      <c r="S8">
        <v>1</v>
      </c>
      <c r="T8">
        <v>0</v>
      </c>
      <c r="U8">
        <v>0</v>
      </c>
      <c r="W8" t="str">
        <f>"17:40:05.133"</f>
        <v>17:40:05.133</v>
      </c>
      <c r="X8" t="str">
        <f>"17:40:04.433"</f>
        <v>17:40:04.433</v>
      </c>
      <c r="Y8" t="str">
        <f t="shared" si="1"/>
        <v>A7C771</v>
      </c>
      <c r="Z8">
        <v>0</v>
      </c>
      <c r="AA8">
        <v>0</v>
      </c>
      <c r="AB8">
        <v>2</v>
      </c>
      <c r="AC8">
        <v>0</v>
      </c>
      <c r="AE8">
        <v>0</v>
      </c>
      <c r="AF8">
        <v>8</v>
      </c>
      <c r="AG8">
        <v>3</v>
      </c>
      <c r="AH8">
        <v>0</v>
      </c>
      <c r="AI8">
        <v>9</v>
      </c>
      <c r="AJ8" t="s">
        <v>125</v>
      </c>
      <c r="AK8">
        <v>0</v>
      </c>
      <c r="AL8">
        <v>3</v>
      </c>
      <c r="AM8">
        <v>2</v>
      </c>
      <c r="AN8">
        <v>1</v>
      </c>
      <c r="AO8" t="s">
        <v>150</v>
      </c>
      <c r="AP8">
        <v>42.710402000000002</v>
      </c>
      <c r="AQ8" t="s">
        <v>151</v>
      </c>
      <c r="AR8">
        <v>-77.744622000000007</v>
      </c>
      <c r="AS8">
        <v>25</v>
      </c>
      <c r="AT8">
        <v>3650</v>
      </c>
      <c r="AU8" t="s">
        <v>123</v>
      </c>
      <c r="AV8">
        <v>139</v>
      </c>
      <c r="AW8">
        <v>223</v>
      </c>
      <c r="AX8">
        <v>-1088</v>
      </c>
      <c r="AZ8">
        <f t="shared" si="6"/>
        <v>19321</v>
      </c>
      <c r="BA8">
        <f t="shared" si="7"/>
        <v>49729</v>
      </c>
      <c r="BB8" s="1">
        <f t="shared" si="8"/>
        <v>262.77366686941826</v>
      </c>
      <c r="BJ8">
        <v>1404</v>
      </c>
      <c r="BK8">
        <v>1</v>
      </c>
      <c r="BL8" t="str">
        <f t="shared" si="2"/>
        <v xml:space="preserve">N600C   </v>
      </c>
      <c r="BM8">
        <v>2</v>
      </c>
      <c r="BO8">
        <v>0</v>
      </c>
      <c r="BP8">
        <v>0</v>
      </c>
      <c r="BQ8">
        <v>0</v>
      </c>
      <c r="BR8">
        <v>3800</v>
      </c>
      <c r="BS8">
        <v>150</v>
      </c>
      <c r="BT8" t="s">
        <v>128</v>
      </c>
      <c r="BU8">
        <v>0</v>
      </c>
      <c r="BV8">
        <v>0</v>
      </c>
      <c r="BW8">
        <v>0</v>
      </c>
      <c r="BX8">
        <v>1</v>
      </c>
      <c r="CA8">
        <v>0</v>
      </c>
      <c r="CB8">
        <v>0</v>
      </c>
      <c r="CC8">
        <v>0</v>
      </c>
      <c r="CM8" t="str">
        <f>"17:40:05.137"</f>
        <v>17:40:05.137</v>
      </c>
      <c r="CN8">
        <v>137376456</v>
      </c>
      <c r="CQ8">
        <v>0</v>
      </c>
      <c r="CR8">
        <v>4000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2</v>
      </c>
      <c r="DC8">
        <v>0</v>
      </c>
      <c r="DD8">
        <v>2</v>
      </c>
      <c r="DE8">
        <v>0</v>
      </c>
      <c r="DF8">
        <v>7</v>
      </c>
      <c r="DG8">
        <v>7</v>
      </c>
      <c r="DH8" t="s">
        <v>124</v>
      </c>
      <c r="DI8">
        <v>71</v>
      </c>
      <c r="DJ8">
        <v>2</v>
      </c>
      <c r="DK8" t="s">
        <v>134</v>
      </c>
      <c r="DL8" t="s">
        <v>135</v>
      </c>
      <c r="DO8">
        <v>686449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</row>
    <row r="9" spans="1:131" x14ac:dyDescent="0.35">
      <c r="A9" s="2" t="str">
        <f>"17:40:06.294"</f>
        <v>17:40:06.294</v>
      </c>
      <c r="B9" s="4">
        <f t="shared" si="9"/>
        <v>63606.294000000002</v>
      </c>
      <c r="C9" s="4">
        <f t="shared" si="3"/>
        <v>6.294000000001688</v>
      </c>
      <c r="D9" s="3">
        <f t="shared" si="4"/>
        <v>0.73618395833333339</v>
      </c>
      <c r="E9" s="2">
        <f t="shared" si="5"/>
        <v>0.73618395833333339</v>
      </c>
      <c r="G9" t="str">
        <f t="shared" si="0"/>
        <v>FFDFD7C0</v>
      </c>
      <c r="H9" t="s">
        <v>126</v>
      </c>
      <c r="I9">
        <v>8</v>
      </c>
      <c r="J9">
        <v>1008</v>
      </c>
      <c r="K9" t="s">
        <v>129</v>
      </c>
      <c r="N9" t="s">
        <v>127</v>
      </c>
      <c r="O9">
        <v>0</v>
      </c>
      <c r="P9">
        <v>3</v>
      </c>
      <c r="Q9">
        <v>0</v>
      </c>
      <c r="R9">
        <v>2</v>
      </c>
      <c r="S9">
        <v>1</v>
      </c>
      <c r="T9">
        <v>0</v>
      </c>
      <c r="U9">
        <v>0</v>
      </c>
      <c r="W9" t="str">
        <f>"17:40:06.023"</f>
        <v>17:40:06.023</v>
      </c>
      <c r="X9" t="str">
        <f>"17:40:05.723"</f>
        <v>17:40:05.723</v>
      </c>
      <c r="Y9" t="str">
        <f t="shared" si="1"/>
        <v>A7C771</v>
      </c>
      <c r="Z9">
        <v>0</v>
      </c>
      <c r="AA9">
        <v>0</v>
      </c>
      <c r="AB9">
        <v>2</v>
      </c>
      <c r="AC9">
        <v>0</v>
      </c>
      <c r="AE9">
        <v>0</v>
      </c>
      <c r="AF9">
        <v>8</v>
      </c>
      <c r="AG9">
        <v>3</v>
      </c>
      <c r="AH9">
        <v>0</v>
      </c>
      <c r="AI9">
        <v>9</v>
      </c>
      <c r="AJ9" t="s">
        <v>125</v>
      </c>
      <c r="AK9">
        <v>0</v>
      </c>
      <c r="AL9">
        <v>3</v>
      </c>
      <c r="AM9">
        <v>2</v>
      </c>
      <c r="AN9">
        <v>1</v>
      </c>
      <c r="AO9" t="s">
        <v>152</v>
      </c>
      <c r="AP9">
        <v>42.711345999999999</v>
      </c>
      <c r="AQ9" t="s">
        <v>153</v>
      </c>
      <c r="AR9">
        <v>-77.743849999999995</v>
      </c>
      <c r="AS9">
        <v>25</v>
      </c>
      <c r="AT9">
        <v>3650</v>
      </c>
      <c r="AU9" t="s">
        <v>123</v>
      </c>
      <c r="AV9">
        <v>138</v>
      </c>
      <c r="AW9">
        <v>222</v>
      </c>
      <c r="AX9">
        <v>-896</v>
      </c>
      <c r="AZ9">
        <f t="shared" si="6"/>
        <v>19044</v>
      </c>
      <c r="BA9">
        <f t="shared" si="7"/>
        <v>49284</v>
      </c>
      <c r="BB9" s="1">
        <f t="shared" si="8"/>
        <v>261.39625092950359</v>
      </c>
      <c r="BJ9">
        <v>1404</v>
      </c>
      <c r="BK9">
        <v>1</v>
      </c>
      <c r="BL9" t="str">
        <f t="shared" si="2"/>
        <v xml:space="preserve">N600C   </v>
      </c>
      <c r="BM9">
        <v>2</v>
      </c>
      <c r="BO9">
        <v>0</v>
      </c>
      <c r="BP9">
        <v>0</v>
      </c>
      <c r="BQ9">
        <v>0</v>
      </c>
      <c r="BR9">
        <v>3775</v>
      </c>
      <c r="BS9">
        <v>125</v>
      </c>
      <c r="BT9" t="s">
        <v>128</v>
      </c>
      <c r="BU9">
        <v>0</v>
      </c>
      <c r="BV9">
        <v>0</v>
      </c>
      <c r="BW9">
        <v>0</v>
      </c>
      <c r="BX9">
        <v>1</v>
      </c>
      <c r="CA9">
        <v>0</v>
      </c>
      <c r="CB9">
        <v>0</v>
      </c>
      <c r="CC9">
        <v>0</v>
      </c>
      <c r="CM9" t="str">
        <f>"17:40:06.026"</f>
        <v>17:40:06.026</v>
      </c>
      <c r="CN9">
        <v>25530670</v>
      </c>
      <c r="CQ9">
        <v>0</v>
      </c>
      <c r="CR9">
        <v>4000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2</v>
      </c>
      <c r="DC9">
        <v>0</v>
      </c>
      <c r="DD9">
        <v>2</v>
      </c>
      <c r="DE9">
        <v>0</v>
      </c>
      <c r="DF9">
        <v>7</v>
      </c>
      <c r="DG9">
        <v>7</v>
      </c>
      <c r="DH9" t="s">
        <v>124</v>
      </c>
      <c r="DI9">
        <v>71</v>
      </c>
      <c r="DJ9">
        <v>2</v>
      </c>
      <c r="DK9" t="s">
        <v>134</v>
      </c>
      <c r="DL9" t="s">
        <v>135</v>
      </c>
      <c r="DO9">
        <v>687238</v>
      </c>
      <c r="DQ9">
        <v>0</v>
      </c>
      <c r="DR9">
        <v>0</v>
      </c>
      <c r="DS9">
        <v>1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</row>
    <row r="10" spans="1:131" x14ac:dyDescent="0.35">
      <c r="A10" s="2" t="str">
        <f>"17:40:07.341"</f>
        <v>17:40:07.341</v>
      </c>
      <c r="B10" s="4">
        <f t="shared" si="9"/>
        <v>63607.340999999993</v>
      </c>
      <c r="C10" s="4">
        <f t="shared" si="3"/>
        <v>7.3409999999930733</v>
      </c>
      <c r="D10" s="3">
        <f t="shared" si="4"/>
        <v>0.73619607638888884</v>
      </c>
      <c r="E10" s="2">
        <f t="shared" si="5"/>
        <v>0.73619607638888884</v>
      </c>
      <c r="G10" t="str">
        <f t="shared" si="0"/>
        <v>FFDFD7C0</v>
      </c>
      <c r="H10" t="s">
        <v>126</v>
      </c>
      <c r="I10">
        <v>8</v>
      </c>
      <c r="J10">
        <v>1008</v>
      </c>
      <c r="K10" t="s">
        <v>129</v>
      </c>
      <c r="N10" t="s">
        <v>127</v>
      </c>
      <c r="O10">
        <v>0</v>
      </c>
      <c r="P10">
        <v>3</v>
      </c>
      <c r="Q10">
        <v>0</v>
      </c>
      <c r="R10">
        <v>2</v>
      </c>
      <c r="S10">
        <v>1</v>
      </c>
      <c r="T10">
        <v>0</v>
      </c>
      <c r="U10">
        <v>0</v>
      </c>
      <c r="W10" t="str">
        <f>"17:40:07.102"</f>
        <v>17:40:07.102</v>
      </c>
      <c r="X10" t="str">
        <f>"17:40:06.802"</f>
        <v>17:40:06.802</v>
      </c>
      <c r="Y10" t="str">
        <f t="shared" si="1"/>
        <v>A7C771</v>
      </c>
      <c r="Z10">
        <v>0</v>
      </c>
      <c r="AA10">
        <v>0</v>
      </c>
      <c r="AB10">
        <v>2</v>
      </c>
      <c r="AC10">
        <v>0</v>
      </c>
      <c r="AE10">
        <v>0</v>
      </c>
      <c r="AF10">
        <v>8</v>
      </c>
      <c r="AG10">
        <v>3</v>
      </c>
      <c r="AH10">
        <v>0</v>
      </c>
      <c r="AI10">
        <v>9</v>
      </c>
      <c r="AJ10" t="s">
        <v>125</v>
      </c>
      <c r="AK10">
        <v>0</v>
      </c>
      <c r="AL10">
        <v>3</v>
      </c>
      <c r="AM10">
        <v>2</v>
      </c>
      <c r="AN10">
        <v>1</v>
      </c>
      <c r="AO10" t="s">
        <v>154</v>
      </c>
      <c r="AP10">
        <v>42.712462000000002</v>
      </c>
      <c r="AQ10" t="s">
        <v>155</v>
      </c>
      <c r="AR10">
        <v>-77.742884000000004</v>
      </c>
      <c r="AS10">
        <v>25</v>
      </c>
      <c r="AT10">
        <v>3625</v>
      </c>
      <c r="AU10" t="s">
        <v>123</v>
      </c>
      <c r="AV10">
        <v>138</v>
      </c>
      <c r="AW10">
        <v>221</v>
      </c>
      <c r="AX10">
        <v>-640</v>
      </c>
      <c r="AZ10">
        <f t="shared" si="6"/>
        <v>19044</v>
      </c>
      <c r="BA10">
        <f t="shared" si="7"/>
        <v>48841</v>
      </c>
      <c r="BB10" s="1">
        <f t="shared" si="8"/>
        <v>260.54750046776502</v>
      </c>
      <c r="BJ10">
        <v>1404</v>
      </c>
      <c r="BK10">
        <v>1</v>
      </c>
      <c r="BL10" t="str">
        <f t="shared" si="2"/>
        <v xml:space="preserve">N600C   </v>
      </c>
      <c r="BM10">
        <v>2</v>
      </c>
      <c r="BO10">
        <v>0</v>
      </c>
      <c r="BP10">
        <v>0</v>
      </c>
      <c r="BQ10">
        <v>0</v>
      </c>
      <c r="BR10">
        <v>3750</v>
      </c>
      <c r="BS10">
        <v>125</v>
      </c>
      <c r="BT10" t="s">
        <v>128</v>
      </c>
      <c r="BU10">
        <v>0</v>
      </c>
      <c r="BV10">
        <v>0</v>
      </c>
      <c r="BW10">
        <v>0</v>
      </c>
      <c r="BX10">
        <v>1</v>
      </c>
      <c r="CA10">
        <v>0.04</v>
      </c>
      <c r="CB10">
        <v>0</v>
      </c>
      <c r="CC10">
        <v>0</v>
      </c>
      <c r="CM10" t="str">
        <f>"17:40:07.106"</f>
        <v>17:40:07.106</v>
      </c>
      <c r="CN10">
        <v>105707745</v>
      </c>
      <c r="CQ10">
        <v>0</v>
      </c>
      <c r="CR10">
        <v>4000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2</v>
      </c>
      <c r="DC10">
        <v>0</v>
      </c>
      <c r="DD10">
        <v>2</v>
      </c>
      <c r="DE10">
        <v>0</v>
      </c>
      <c r="DF10">
        <v>7</v>
      </c>
      <c r="DG10">
        <v>7</v>
      </c>
      <c r="DH10" t="s">
        <v>124</v>
      </c>
      <c r="DI10">
        <v>73</v>
      </c>
      <c r="DJ10">
        <v>3</v>
      </c>
      <c r="DK10" t="s">
        <v>130</v>
      </c>
      <c r="DL10" t="s">
        <v>131</v>
      </c>
      <c r="DO10">
        <v>12679927</v>
      </c>
      <c r="DQ10">
        <v>0</v>
      </c>
      <c r="DR10">
        <v>0</v>
      </c>
      <c r="DS10">
        <v>1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</row>
    <row r="11" spans="1:131" x14ac:dyDescent="0.35">
      <c r="A11" s="2" t="str">
        <f>"17:40:08.386"</f>
        <v>17:40:08.386</v>
      </c>
      <c r="B11" s="4">
        <f t="shared" si="9"/>
        <v>63608.385999999991</v>
      </c>
      <c r="C11" s="4">
        <f t="shared" si="3"/>
        <v>8.3859999999913271</v>
      </c>
      <c r="D11" s="3">
        <f t="shared" si="4"/>
        <v>0.73620817129629623</v>
      </c>
      <c r="E11" s="2">
        <f t="shared" si="5"/>
        <v>0.73620817129629623</v>
      </c>
      <c r="G11" t="str">
        <f t="shared" si="0"/>
        <v>FFDFD7C0</v>
      </c>
      <c r="H11" t="s">
        <v>126</v>
      </c>
      <c r="I11">
        <v>8</v>
      </c>
      <c r="J11">
        <v>1008</v>
      </c>
      <c r="K11" t="s">
        <v>129</v>
      </c>
      <c r="N11" t="s">
        <v>127</v>
      </c>
      <c r="O11">
        <v>0</v>
      </c>
      <c r="P11">
        <v>3</v>
      </c>
      <c r="Q11">
        <v>0</v>
      </c>
      <c r="R11">
        <v>2</v>
      </c>
      <c r="S11">
        <v>1</v>
      </c>
      <c r="T11">
        <v>0</v>
      </c>
      <c r="U11">
        <v>0</v>
      </c>
      <c r="W11" t="str">
        <f>"17:40:08.148"</f>
        <v>17:40:08.148</v>
      </c>
      <c r="X11" t="str">
        <f>"17:40:07.848"</f>
        <v>17:40:07.848</v>
      </c>
      <c r="Y11" t="str">
        <f t="shared" si="1"/>
        <v>A7C771</v>
      </c>
      <c r="Z11">
        <v>0</v>
      </c>
      <c r="AA11">
        <v>0</v>
      </c>
      <c r="AB11">
        <v>2</v>
      </c>
      <c r="AC11">
        <v>0</v>
      </c>
      <c r="AE11">
        <v>0</v>
      </c>
      <c r="AF11">
        <v>8</v>
      </c>
      <c r="AG11">
        <v>3</v>
      </c>
      <c r="AH11">
        <v>0</v>
      </c>
      <c r="AI11">
        <v>9</v>
      </c>
      <c r="AJ11" t="s">
        <v>125</v>
      </c>
      <c r="AK11">
        <v>0</v>
      </c>
      <c r="AL11">
        <v>3</v>
      </c>
      <c r="AM11">
        <v>2</v>
      </c>
      <c r="AN11">
        <v>1</v>
      </c>
      <c r="AO11" t="s">
        <v>156</v>
      </c>
      <c r="AP11">
        <v>42.713470000000001</v>
      </c>
      <c r="AQ11" t="s">
        <v>157</v>
      </c>
      <c r="AR11">
        <v>-77.742069000000001</v>
      </c>
      <c r="AS11">
        <v>25</v>
      </c>
      <c r="AT11">
        <v>3625</v>
      </c>
      <c r="AU11" t="s">
        <v>123</v>
      </c>
      <c r="AV11">
        <v>137</v>
      </c>
      <c r="AW11">
        <v>220</v>
      </c>
      <c r="AX11">
        <v>-320</v>
      </c>
      <c r="AZ11">
        <f t="shared" si="6"/>
        <v>18769</v>
      </c>
      <c r="BA11">
        <f t="shared" si="7"/>
        <v>48400</v>
      </c>
      <c r="BB11" s="1">
        <f t="shared" si="8"/>
        <v>259.16982849089516</v>
      </c>
      <c r="BJ11">
        <v>1404</v>
      </c>
      <c r="BK11">
        <v>1</v>
      </c>
      <c r="BL11" t="str">
        <f t="shared" si="2"/>
        <v xml:space="preserve">N600C   </v>
      </c>
      <c r="BM11">
        <v>2</v>
      </c>
      <c r="BO11">
        <v>0</v>
      </c>
      <c r="BP11">
        <v>0</v>
      </c>
      <c r="BQ11">
        <v>0</v>
      </c>
      <c r="BR11">
        <v>3750</v>
      </c>
      <c r="BS11">
        <v>125</v>
      </c>
      <c r="BT11" t="s">
        <v>128</v>
      </c>
      <c r="BU11">
        <v>0</v>
      </c>
      <c r="BV11">
        <v>0</v>
      </c>
      <c r="BW11">
        <v>0</v>
      </c>
      <c r="BX11">
        <v>1</v>
      </c>
      <c r="CA11">
        <v>0</v>
      </c>
      <c r="CB11">
        <v>0</v>
      </c>
      <c r="CC11">
        <v>0</v>
      </c>
      <c r="CM11" t="str">
        <f>"17:40:08.154"</f>
        <v>17:40:08.154</v>
      </c>
      <c r="CN11">
        <v>153917840</v>
      </c>
      <c r="CQ11">
        <v>0</v>
      </c>
      <c r="CR11">
        <v>4000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2</v>
      </c>
      <c r="DC11">
        <v>0</v>
      </c>
      <c r="DD11">
        <v>2</v>
      </c>
      <c r="DE11">
        <v>0</v>
      </c>
      <c r="DF11">
        <v>7</v>
      </c>
      <c r="DG11">
        <v>7</v>
      </c>
      <c r="DH11" t="s">
        <v>124</v>
      </c>
      <c r="DI11">
        <v>71</v>
      </c>
      <c r="DJ11">
        <v>2</v>
      </c>
      <c r="DK11" t="s">
        <v>134</v>
      </c>
      <c r="DL11" t="s">
        <v>135</v>
      </c>
      <c r="DO11">
        <v>689246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</row>
    <row r="12" spans="1:131" x14ac:dyDescent="0.35">
      <c r="A12" s="2" t="str">
        <f>"17:40:09.410"</f>
        <v>17:40:09.410</v>
      </c>
      <c r="B12" s="4">
        <f t="shared" si="9"/>
        <v>63609.41</v>
      </c>
      <c r="C12" s="4">
        <f t="shared" si="3"/>
        <v>9.4100000000034925</v>
      </c>
      <c r="D12" s="3">
        <f t="shared" si="4"/>
        <v>0.73622002314814816</v>
      </c>
      <c r="E12" s="2">
        <f t="shared" si="5"/>
        <v>0.73622002314814816</v>
      </c>
      <c r="G12" t="str">
        <f t="shared" si="0"/>
        <v>FFDFD7C0</v>
      </c>
      <c r="H12" t="s">
        <v>126</v>
      </c>
      <c r="I12">
        <v>8</v>
      </c>
      <c r="J12">
        <v>1008</v>
      </c>
      <c r="K12" t="s">
        <v>129</v>
      </c>
      <c r="N12" t="s">
        <v>127</v>
      </c>
      <c r="O12">
        <v>0</v>
      </c>
      <c r="P12">
        <v>3</v>
      </c>
      <c r="Q12">
        <v>0</v>
      </c>
      <c r="R12">
        <v>2</v>
      </c>
      <c r="S12">
        <v>1</v>
      </c>
      <c r="T12">
        <v>0</v>
      </c>
      <c r="U12">
        <v>0</v>
      </c>
      <c r="W12" t="str">
        <f>"17:40:09.219"</f>
        <v>17:40:09.219</v>
      </c>
      <c r="X12" t="str">
        <f>"17:40:08.819"</f>
        <v>17:40:08.819</v>
      </c>
      <c r="Y12" t="str">
        <f t="shared" si="1"/>
        <v>A7C771</v>
      </c>
      <c r="Z12">
        <v>0</v>
      </c>
      <c r="AA12">
        <v>0</v>
      </c>
      <c r="AB12">
        <v>2</v>
      </c>
      <c r="AC12">
        <v>0</v>
      </c>
      <c r="AE12">
        <v>0</v>
      </c>
      <c r="AF12">
        <v>8</v>
      </c>
      <c r="AG12">
        <v>3</v>
      </c>
      <c r="AH12">
        <v>0</v>
      </c>
      <c r="AI12">
        <v>9</v>
      </c>
      <c r="AJ12" t="s">
        <v>125</v>
      </c>
      <c r="AK12">
        <v>0</v>
      </c>
      <c r="AL12">
        <v>3</v>
      </c>
      <c r="AM12">
        <v>2</v>
      </c>
      <c r="AN12">
        <v>1</v>
      </c>
      <c r="AO12" t="s">
        <v>158</v>
      </c>
      <c r="AP12">
        <v>42.714565</v>
      </c>
      <c r="AQ12" t="s">
        <v>159</v>
      </c>
      <c r="AR12">
        <v>-77.741102999999995</v>
      </c>
      <c r="AS12">
        <v>25</v>
      </c>
      <c r="AT12">
        <v>3625</v>
      </c>
      <c r="AU12" t="s">
        <v>123</v>
      </c>
      <c r="AV12">
        <v>136</v>
      </c>
      <c r="AW12">
        <v>219</v>
      </c>
      <c r="AX12">
        <v>-128</v>
      </c>
      <c r="AZ12">
        <f t="shared" si="6"/>
        <v>18496</v>
      </c>
      <c r="BA12">
        <f t="shared" si="7"/>
        <v>47961</v>
      </c>
      <c r="BB12" s="1">
        <f t="shared" si="8"/>
        <v>257.79255225859418</v>
      </c>
      <c r="BJ12">
        <v>1404</v>
      </c>
      <c r="BK12">
        <v>1</v>
      </c>
      <c r="BL12" t="str">
        <f t="shared" si="2"/>
        <v xml:space="preserve">N600C   </v>
      </c>
      <c r="BM12">
        <v>2</v>
      </c>
      <c r="BO12">
        <v>0</v>
      </c>
      <c r="BP12">
        <v>0</v>
      </c>
      <c r="BQ12">
        <v>0</v>
      </c>
      <c r="BR12">
        <v>3750</v>
      </c>
      <c r="BS12">
        <v>125</v>
      </c>
      <c r="BT12" t="s">
        <v>128</v>
      </c>
      <c r="BU12">
        <v>0</v>
      </c>
      <c r="BV12">
        <v>0</v>
      </c>
      <c r="BW12">
        <v>0</v>
      </c>
      <c r="BX12">
        <v>1</v>
      </c>
      <c r="CA12">
        <v>0</v>
      </c>
      <c r="CB12">
        <v>0</v>
      </c>
      <c r="CC12">
        <v>0</v>
      </c>
      <c r="CM12" t="str">
        <f>"17:40:09.226"</f>
        <v>17:40:09.226</v>
      </c>
      <c r="CN12">
        <v>226117294</v>
      </c>
      <c r="CQ12">
        <v>0</v>
      </c>
      <c r="CR12">
        <v>4000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2</v>
      </c>
      <c r="DC12">
        <v>0</v>
      </c>
      <c r="DD12">
        <v>2</v>
      </c>
      <c r="DE12">
        <v>0</v>
      </c>
      <c r="DF12">
        <v>7</v>
      </c>
      <c r="DG12">
        <v>7</v>
      </c>
      <c r="DH12" t="s">
        <v>124</v>
      </c>
      <c r="DI12">
        <v>71</v>
      </c>
      <c r="DJ12">
        <v>2</v>
      </c>
      <c r="DK12" t="s">
        <v>134</v>
      </c>
      <c r="DL12" t="s">
        <v>135</v>
      </c>
      <c r="DO12">
        <v>690189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</row>
    <row r="13" spans="1:131" x14ac:dyDescent="0.35">
      <c r="A13" s="2" t="str">
        <f>"17:40:11.660"</f>
        <v>17:40:11.660</v>
      </c>
      <c r="B13" s="4">
        <f t="shared" si="9"/>
        <v>63611.659999999996</v>
      </c>
      <c r="C13" s="4">
        <f t="shared" si="3"/>
        <v>11.659999999996217</v>
      </c>
      <c r="D13" s="3">
        <f t="shared" si="4"/>
        <v>0.7362460648148148</v>
      </c>
      <c r="E13" s="2">
        <f t="shared" si="5"/>
        <v>0.7362460648148148</v>
      </c>
      <c r="G13" t="str">
        <f t="shared" si="0"/>
        <v>FFDFD7C0</v>
      </c>
      <c r="H13" t="s">
        <v>126</v>
      </c>
      <c r="I13">
        <v>8</v>
      </c>
      <c r="J13">
        <v>1008</v>
      </c>
      <c r="K13" t="s">
        <v>129</v>
      </c>
      <c r="N13" t="s">
        <v>127</v>
      </c>
      <c r="O13">
        <v>0</v>
      </c>
      <c r="P13">
        <v>3</v>
      </c>
      <c r="Q13">
        <v>0</v>
      </c>
      <c r="R13">
        <v>2</v>
      </c>
      <c r="S13">
        <v>1</v>
      </c>
      <c r="T13">
        <v>0</v>
      </c>
      <c r="U13">
        <v>0</v>
      </c>
      <c r="W13" t="str">
        <f>"17:40:11.281"</f>
        <v>17:40:11.281</v>
      </c>
      <c r="X13" t="str">
        <f>"17:40:11.181"</f>
        <v>17:40:11.181</v>
      </c>
      <c r="Y13" t="str">
        <f t="shared" si="1"/>
        <v>A7C771</v>
      </c>
      <c r="Z13">
        <v>0</v>
      </c>
      <c r="AA13">
        <v>0</v>
      </c>
      <c r="AB13">
        <v>2</v>
      </c>
      <c r="AC13">
        <v>0</v>
      </c>
      <c r="AE13">
        <v>0</v>
      </c>
      <c r="AF13">
        <v>8</v>
      </c>
      <c r="AG13">
        <v>3</v>
      </c>
      <c r="AH13">
        <v>0</v>
      </c>
      <c r="AI13">
        <v>9</v>
      </c>
      <c r="AJ13" t="s">
        <v>125</v>
      </c>
      <c r="AK13">
        <v>0</v>
      </c>
      <c r="AL13">
        <v>3</v>
      </c>
      <c r="AM13">
        <v>2</v>
      </c>
      <c r="AN13">
        <v>1</v>
      </c>
      <c r="AO13" t="s">
        <v>160</v>
      </c>
      <c r="AP13">
        <v>42.716667999999999</v>
      </c>
      <c r="AQ13" t="s">
        <v>161</v>
      </c>
      <c r="AR13">
        <v>-77.739386999999994</v>
      </c>
      <c r="AS13">
        <v>25</v>
      </c>
      <c r="AT13">
        <v>3625</v>
      </c>
      <c r="AU13" t="s">
        <v>123</v>
      </c>
      <c r="AV13">
        <v>133</v>
      </c>
      <c r="AW13">
        <v>216</v>
      </c>
      <c r="AX13">
        <v>128</v>
      </c>
      <c r="AZ13">
        <f t="shared" si="6"/>
        <v>17689</v>
      </c>
      <c r="BA13">
        <f t="shared" si="7"/>
        <v>46656</v>
      </c>
      <c r="BB13" s="1">
        <f t="shared" si="8"/>
        <v>253.6631624812716</v>
      </c>
      <c r="BJ13">
        <v>1404</v>
      </c>
      <c r="BK13">
        <v>1</v>
      </c>
      <c r="BL13" t="str">
        <f t="shared" si="2"/>
        <v xml:space="preserve">N600C   </v>
      </c>
      <c r="BM13">
        <v>2</v>
      </c>
      <c r="BO13">
        <v>0</v>
      </c>
      <c r="BP13">
        <v>0</v>
      </c>
      <c r="BQ13">
        <v>0</v>
      </c>
      <c r="BR13">
        <v>3725</v>
      </c>
      <c r="BS13">
        <v>100</v>
      </c>
      <c r="BT13" t="s">
        <v>128</v>
      </c>
      <c r="BU13">
        <v>0</v>
      </c>
      <c r="BV13">
        <v>0</v>
      </c>
      <c r="BW13">
        <v>0</v>
      </c>
      <c r="BX13">
        <v>1</v>
      </c>
      <c r="CA13">
        <v>0</v>
      </c>
      <c r="CB13">
        <v>0</v>
      </c>
      <c r="CC13">
        <v>0</v>
      </c>
      <c r="CM13" t="str">
        <f>"17:40:11.282"</f>
        <v>17:40:11.282</v>
      </c>
      <c r="CN13">
        <v>282490631</v>
      </c>
      <c r="CQ13">
        <v>0</v>
      </c>
      <c r="CR13">
        <v>4000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2</v>
      </c>
      <c r="DC13">
        <v>0</v>
      </c>
      <c r="DD13">
        <v>2</v>
      </c>
      <c r="DE13">
        <v>0</v>
      </c>
      <c r="DF13">
        <v>7</v>
      </c>
      <c r="DG13">
        <v>7</v>
      </c>
      <c r="DH13" t="s">
        <v>124</v>
      </c>
      <c r="DI13">
        <v>71</v>
      </c>
      <c r="DJ13">
        <v>2</v>
      </c>
      <c r="DK13" t="s">
        <v>134</v>
      </c>
      <c r="DL13" t="s">
        <v>135</v>
      </c>
      <c r="DO13">
        <v>692054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</row>
    <row r="14" spans="1:131" x14ac:dyDescent="0.35">
      <c r="A14" s="2" t="str">
        <f>"17:40:12.551"</f>
        <v>17:40:12.551</v>
      </c>
      <c r="B14" s="4">
        <f t="shared" si="9"/>
        <v>63612.551000000007</v>
      </c>
      <c r="C14" s="4">
        <f t="shared" si="3"/>
        <v>12.551000000006752</v>
      </c>
      <c r="D14" s="3">
        <f t="shared" si="4"/>
        <v>0.73625637731481486</v>
      </c>
      <c r="E14" s="2">
        <f t="shared" si="5"/>
        <v>0.73625637731481486</v>
      </c>
      <c r="G14" t="str">
        <f t="shared" si="0"/>
        <v>FFDFD7C0</v>
      </c>
      <c r="H14" t="s">
        <v>126</v>
      </c>
      <c r="I14">
        <v>8</v>
      </c>
      <c r="J14">
        <v>1008</v>
      </c>
      <c r="K14" t="s">
        <v>129</v>
      </c>
      <c r="N14" t="s">
        <v>127</v>
      </c>
      <c r="O14">
        <v>0</v>
      </c>
      <c r="P14">
        <v>3</v>
      </c>
      <c r="Q14">
        <v>0</v>
      </c>
      <c r="R14">
        <v>2</v>
      </c>
      <c r="S14">
        <v>1</v>
      </c>
      <c r="T14">
        <v>0</v>
      </c>
      <c r="U14">
        <v>0</v>
      </c>
      <c r="W14" t="str">
        <f>"17:40:12.266"</f>
        <v>17:40:12.266</v>
      </c>
      <c r="X14" t="str">
        <f>"17:40:12.166"</f>
        <v>17:40:12.166</v>
      </c>
      <c r="Y14" t="str">
        <f t="shared" si="1"/>
        <v>A7C771</v>
      </c>
      <c r="Z14">
        <v>0</v>
      </c>
      <c r="AA14">
        <v>0</v>
      </c>
      <c r="AB14">
        <v>2</v>
      </c>
      <c r="AC14">
        <v>0</v>
      </c>
      <c r="AE14">
        <v>0</v>
      </c>
      <c r="AF14">
        <v>8</v>
      </c>
      <c r="AG14">
        <v>3</v>
      </c>
      <c r="AH14">
        <v>0</v>
      </c>
      <c r="AI14">
        <v>9</v>
      </c>
      <c r="AJ14" t="s">
        <v>125</v>
      </c>
      <c r="AK14">
        <v>0</v>
      </c>
      <c r="AL14">
        <v>3</v>
      </c>
      <c r="AM14">
        <v>2</v>
      </c>
      <c r="AN14">
        <v>1</v>
      </c>
      <c r="AO14" t="s">
        <v>162</v>
      </c>
      <c r="AP14">
        <v>42.717632999999999</v>
      </c>
      <c r="AQ14" t="s">
        <v>163</v>
      </c>
      <c r="AR14">
        <v>-77.738506999999998</v>
      </c>
      <c r="AS14">
        <v>25</v>
      </c>
      <c r="AT14">
        <v>3625</v>
      </c>
      <c r="AU14" t="s">
        <v>123</v>
      </c>
      <c r="AV14">
        <v>132</v>
      </c>
      <c r="AW14">
        <v>215</v>
      </c>
      <c r="AX14">
        <v>128</v>
      </c>
      <c r="AZ14">
        <f t="shared" si="6"/>
        <v>17424</v>
      </c>
      <c r="BA14">
        <f t="shared" si="7"/>
        <v>46225</v>
      </c>
      <c r="BB14" s="1">
        <f t="shared" si="8"/>
        <v>252.28753437298482</v>
      </c>
      <c r="BJ14">
        <v>1404</v>
      </c>
      <c r="BK14">
        <v>1</v>
      </c>
      <c r="BL14" t="str">
        <f t="shared" si="2"/>
        <v xml:space="preserve">N600C   </v>
      </c>
      <c r="BM14">
        <v>2</v>
      </c>
      <c r="BO14">
        <v>0</v>
      </c>
      <c r="BP14">
        <v>0</v>
      </c>
      <c r="BQ14">
        <v>0</v>
      </c>
      <c r="BR14">
        <v>3725</v>
      </c>
      <c r="BS14">
        <v>100</v>
      </c>
      <c r="BT14" t="s">
        <v>128</v>
      </c>
      <c r="BU14">
        <v>0</v>
      </c>
      <c r="BV14">
        <v>0</v>
      </c>
      <c r="BW14">
        <v>0</v>
      </c>
      <c r="BX14">
        <v>1</v>
      </c>
      <c r="CA14">
        <v>0</v>
      </c>
      <c r="CB14">
        <v>0</v>
      </c>
      <c r="CC14">
        <v>0</v>
      </c>
      <c r="CM14" t="str">
        <f>"17:40:12.267"</f>
        <v>17:40:12.267</v>
      </c>
      <c r="CN14">
        <v>266675313</v>
      </c>
      <c r="CQ14">
        <v>0</v>
      </c>
      <c r="CR14">
        <v>4000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2</v>
      </c>
      <c r="DC14">
        <v>0</v>
      </c>
      <c r="DD14">
        <v>2</v>
      </c>
      <c r="DE14">
        <v>0</v>
      </c>
      <c r="DF14">
        <v>7</v>
      </c>
      <c r="DG14">
        <v>7</v>
      </c>
      <c r="DH14" t="s">
        <v>124</v>
      </c>
      <c r="DI14">
        <v>71</v>
      </c>
      <c r="DJ14">
        <v>2</v>
      </c>
      <c r="DK14" t="s">
        <v>134</v>
      </c>
      <c r="DL14" t="s">
        <v>135</v>
      </c>
      <c r="DO14">
        <v>692998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</row>
    <row r="15" spans="1:131" x14ac:dyDescent="0.35">
      <c r="A15" s="2" t="str">
        <f>"17:40:13.662"</f>
        <v>17:40:13.662</v>
      </c>
      <c r="B15" s="4">
        <f t="shared" si="9"/>
        <v>63613.661999999997</v>
      </c>
      <c r="C15" s="4">
        <f t="shared" si="3"/>
        <v>13.661999999996624</v>
      </c>
      <c r="D15" s="3">
        <f t="shared" si="4"/>
        <v>0.73626923611111106</v>
      </c>
      <c r="E15" s="2">
        <f t="shared" si="5"/>
        <v>0.73626923611111106</v>
      </c>
      <c r="G15" t="str">
        <f t="shared" si="0"/>
        <v>FFDFD7C0</v>
      </c>
      <c r="H15" t="s">
        <v>126</v>
      </c>
      <c r="I15">
        <v>8</v>
      </c>
      <c r="J15">
        <v>1008</v>
      </c>
      <c r="K15" t="s">
        <v>129</v>
      </c>
      <c r="N15" t="s">
        <v>127</v>
      </c>
      <c r="O15">
        <v>0</v>
      </c>
      <c r="P15">
        <v>3</v>
      </c>
      <c r="Q15">
        <v>0</v>
      </c>
      <c r="R15">
        <v>2</v>
      </c>
      <c r="S15">
        <v>1</v>
      </c>
      <c r="T15">
        <v>0</v>
      </c>
      <c r="U15">
        <v>0</v>
      </c>
      <c r="W15" t="str">
        <f>"17:40:13.328"</f>
        <v>17:40:13.328</v>
      </c>
      <c r="X15" t="str">
        <f>"17:40:13.228"</f>
        <v>17:40:13.228</v>
      </c>
      <c r="Y15" t="str">
        <f t="shared" si="1"/>
        <v>A7C771</v>
      </c>
      <c r="Z15">
        <v>0</v>
      </c>
      <c r="AA15">
        <v>0</v>
      </c>
      <c r="AB15">
        <v>2</v>
      </c>
      <c r="AC15">
        <v>0</v>
      </c>
      <c r="AE15">
        <v>0</v>
      </c>
      <c r="AF15">
        <v>8</v>
      </c>
      <c r="AG15">
        <v>3</v>
      </c>
      <c r="AH15">
        <v>0</v>
      </c>
      <c r="AI15">
        <v>9</v>
      </c>
      <c r="AJ15" t="s">
        <v>125</v>
      </c>
      <c r="AK15">
        <v>0</v>
      </c>
      <c r="AL15">
        <v>3</v>
      </c>
      <c r="AM15">
        <v>2</v>
      </c>
      <c r="AN15">
        <v>1</v>
      </c>
      <c r="AO15" t="s">
        <v>164</v>
      </c>
      <c r="AP15">
        <v>42.718642000000003</v>
      </c>
      <c r="AQ15" t="s">
        <v>165</v>
      </c>
      <c r="AR15">
        <v>-77.737690999999998</v>
      </c>
      <c r="AS15">
        <v>25</v>
      </c>
      <c r="AT15">
        <v>3650</v>
      </c>
      <c r="AU15" t="s">
        <v>123</v>
      </c>
      <c r="AV15">
        <v>131</v>
      </c>
      <c r="AW15">
        <v>214</v>
      </c>
      <c r="AX15">
        <v>128</v>
      </c>
      <c r="AZ15">
        <f t="shared" si="6"/>
        <v>17161</v>
      </c>
      <c r="BA15">
        <f t="shared" si="7"/>
        <v>45796</v>
      </c>
      <c r="BB15" s="1">
        <f t="shared" si="8"/>
        <v>250.9123352886422</v>
      </c>
      <c r="BJ15">
        <v>1404</v>
      </c>
      <c r="BK15">
        <v>1</v>
      </c>
      <c r="BL15" t="str">
        <f t="shared" si="2"/>
        <v xml:space="preserve">N600C   </v>
      </c>
      <c r="BM15">
        <v>2</v>
      </c>
      <c r="BO15">
        <v>0</v>
      </c>
      <c r="BP15">
        <v>0</v>
      </c>
      <c r="BQ15">
        <v>0</v>
      </c>
      <c r="BR15">
        <v>3750</v>
      </c>
      <c r="BS15">
        <v>100</v>
      </c>
      <c r="BT15" t="s">
        <v>128</v>
      </c>
      <c r="BU15">
        <v>0</v>
      </c>
      <c r="BV15">
        <v>0</v>
      </c>
      <c r="BW15">
        <v>0</v>
      </c>
      <c r="BX15">
        <v>1</v>
      </c>
      <c r="CA15">
        <v>0</v>
      </c>
      <c r="CB15">
        <v>0</v>
      </c>
      <c r="CC15">
        <v>0</v>
      </c>
      <c r="CM15" t="str">
        <f>"17:40:13.331"</f>
        <v>17:40:13.331</v>
      </c>
      <c r="CN15">
        <v>330846607</v>
      </c>
      <c r="CQ15">
        <v>0</v>
      </c>
      <c r="CR15">
        <v>4000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2</v>
      </c>
      <c r="DC15">
        <v>0</v>
      </c>
      <c r="DD15">
        <v>2</v>
      </c>
      <c r="DE15">
        <v>0</v>
      </c>
      <c r="DF15">
        <v>7</v>
      </c>
      <c r="DG15">
        <v>7</v>
      </c>
      <c r="DH15" t="s">
        <v>124</v>
      </c>
      <c r="DI15">
        <v>73</v>
      </c>
      <c r="DJ15">
        <v>3</v>
      </c>
      <c r="DK15" t="s">
        <v>130</v>
      </c>
      <c r="DL15" t="s">
        <v>131</v>
      </c>
      <c r="DO15">
        <v>12685264</v>
      </c>
      <c r="DQ15">
        <v>0</v>
      </c>
      <c r="DR15">
        <v>0</v>
      </c>
      <c r="DS15">
        <v>1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</row>
    <row r="16" spans="1:131" x14ac:dyDescent="0.35">
      <c r="A16" s="2" t="str">
        <f>"17:40:14.597"</f>
        <v>17:40:14.597</v>
      </c>
      <c r="B16" s="4">
        <f t="shared" si="9"/>
        <v>63614.597000000002</v>
      </c>
      <c r="C16" s="4">
        <f t="shared" si="3"/>
        <v>14.597000000001572</v>
      </c>
      <c r="D16" s="3">
        <f t="shared" si="4"/>
        <v>0.73628005787037043</v>
      </c>
      <c r="E16" s="2">
        <f t="shared" si="5"/>
        <v>0.73628005787037043</v>
      </c>
      <c r="G16" t="str">
        <f t="shared" si="0"/>
        <v>FFDFD7C0</v>
      </c>
      <c r="H16" t="s">
        <v>126</v>
      </c>
      <c r="I16">
        <v>8</v>
      </c>
      <c r="J16">
        <v>1008</v>
      </c>
      <c r="K16" t="s">
        <v>129</v>
      </c>
      <c r="N16" t="s">
        <v>127</v>
      </c>
      <c r="O16">
        <v>0</v>
      </c>
      <c r="P16">
        <v>3</v>
      </c>
      <c r="Q16">
        <v>0</v>
      </c>
      <c r="R16">
        <v>2</v>
      </c>
      <c r="S16">
        <v>1</v>
      </c>
      <c r="T16">
        <v>0</v>
      </c>
      <c r="U16">
        <v>0</v>
      </c>
      <c r="W16" t="str">
        <f>"17:40:14.242"</f>
        <v>17:40:14.242</v>
      </c>
      <c r="X16" t="str">
        <f>"17:40:13.842"</f>
        <v>17:40:13.842</v>
      </c>
      <c r="Y16" t="str">
        <f t="shared" si="1"/>
        <v>A7C771</v>
      </c>
      <c r="Z16">
        <v>0</v>
      </c>
      <c r="AA16">
        <v>0</v>
      </c>
      <c r="AB16">
        <v>2</v>
      </c>
      <c r="AC16">
        <v>0</v>
      </c>
      <c r="AE16">
        <v>0</v>
      </c>
      <c r="AF16">
        <v>8</v>
      </c>
      <c r="AG16">
        <v>3</v>
      </c>
      <c r="AH16">
        <v>0</v>
      </c>
      <c r="AI16">
        <v>9</v>
      </c>
      <c r="AJ16" t="s">
        <v>125</v>
      </c>
      <c r="AK16">
        <v>0</v>
      </c>
      <c r="AL16">
        <v>3</v>
      </c>
      <c r="AM16">
        <v>2</v>
      </c>
      <c r="AN16">
        <v>1</v>
      </c>
      <c r="AO16" t="s">
        <v>166</v>
      </c>
      <c r="AP16">
        <v>42.719499999999996</v>
      </c>
      <c r="AQ16" t="s">
        <v>167</v>
      </c>
      <c r="AR16">
        <v>-77.736962000000005</v>
      </c>
      <c r="AS16">
        <v>25</v>
      </c>
      <c r="AT16">
        <v>3650</v>
      </c>
      <c r="AU16" t="s">
        <v>123</v>
      </c>
      <c r="AV16">
        <v>130</v>
      </c>
      <c r="AW16">
        <v>212</v>
      </c>
      <c r="AX16">
        <v>64</v>
      </c>
      <c r="AZ16">
        <f t="shared" si="6"/>
        <v>16900</v>
      </c>
      <c r="BA16">
        <f t="shared" si="7"/>
        <v>44944</v>
      </c>
      <c r="BB16" s="1">
        <f t="shared" si="8"/>
        <v>248.68453912537467</v>
      </c>
      <c r="BJ16">
        <v>1404</v>
      </c>
      <c r="BK16">
        <v>1</v>
      </c>
      <c r="BL16" t="str">
        <f t="shared" si="2"/>
        <v xml:space="preserve">N600C   </v>
      </c>
      <c r="BM16">
        <v>2</v>
      </c>
      <c r="BO16">
        <v>0</v>
      </c>
      <c r="BP16">
        <v>0</v>
      </c>
      <c r="BQ16">
        <v>0</v>
      </c>
      <c r="BR16">
        <v>3750</v>
      </c>
      <c r="BS16">
        <v>100</v>
      </c>
      <c r="BT16" t="s">
        <v>128</v>
      </c>
      <c r="BU16">
        <v>0</v>
      </c>
      <c r="BV16">
        <v>0</v>
      </c>
      <c r="BW16">
        <v>0</v>
      </c>
      <c r="BX16">
        <v>1</v>
      </c>
      <c r="CA16">
        <v>0</v>
      </c>
      <c r="CB16">
        <v>0</v>
      </c>
      <c r="CC16">
        <v>0</v>
      </c>
      <c r="CM16" t="str">
        <f>"17:40:14.243"</f>
        <v>17:40:14.243</v>
      </c>
      <c r="CN16">
        <v>243048654</v>
      </c>
      <c r="CQ16">
        <v>0</v>
      </c>
      <c r="CR16">
        <v>4000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2</v>
      </c>
      <c r="DC16">
        <v>0</v>
      </c>
      <c r="DD16">
        <v>2</v>
      </c>
      <c r="DE16">
        <v>0</v>
      </c>
      <c r="DF16">
        <v>7</v>
      </c>
      <c r="DG16">
        <v>7</v>
      </c>
      <c r="DH16" t="s">
        <v>124</v>
      </c>
      <c r="DI16">
        <v>71</v>
      </c>
      <c r="DJ16">
        <v>2</v>
      </c>
      <c r="DK16" t="s">
        <v>134</v>
      </c>
      <c r="DL16" t="s">
        <v>135</v>
      </c>
      <c r="DO16">
        <v>694855</v>
      </c>
      <c r="DQ16">
        <v>0</v>
      </c>
      <c r="DR16">
        <v>0</v>
      </c>
      <c r="DS16">
        <v>1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</row>
    <row r="17" spans="1:131" x14ac:dyDescent="0.35">
      <c r="A17" s="2" t="str">
        <f>"17:40:15.441"</f>
        <v>17:40:15.441</v>
      </c>
      <c r="B17" s="4">
        <f t="shared" si="9"/>
        <v>63615.440999999999</v>
      </c>
      <c r="C17" s="4">
        <f t="shared" si="3"/>
        <v>15.440999999998894</v>
      </c>
      <c r="D17" s="3">
        <f t="shared" si="4"/>
        <v>0.73628982638888885</v>
      </c>
      <c r="E17" s="2">
        <f t="shared" si="5"/>
        <v>0.73628982638888885</v>
      </c>
      <c r="G17" t="str">
        <f t="shared" si="0"/>
        <v>FFDFD7C0</v>
      </c>
      <c r="H17" t="s">
        <v>126</v>
      </c>
      <c r="I17">
        <v>8</v>
      </c>
      <c r="J17">
        <v>1008</v>
      </c>
      <c r="K17" t="s">
        <v>129</v>
      </c>
      <c r="N17" t="s">
        <v>127</v>
      </c>
      <c r="O17">
        <v>0</v>
      </c>
      <c r="P17">
        <v>3</v>
      </c>
      <c r="Q17">
        <v>0</v>
      </c>
      <c r="R17">
        <v>2</v>
      </c>
      <c r="S17">
        <v>1</v>
      </c>
      <c r="T17">
        <v>0</v>
      </c>
      <c r="U17">
        <v>0</v>
      </c>
      <c r="W17" t="str">
        <f>"17:40:15.156"</f>
        <v>17:40:15.156</v>
      </c>
      <c r="X17" t="str">
        <f>"17:40:14.956"</f>
        <v>17:40:14.956</v>
      </c>
      <c r="Y17" t="str">
        <f t="shared" si="1"/>
        <v>A7C771</v>
      </c>
      <c r="Z17">
        <v>0</v>
      </c>
      <c r="AA17">
        <v>0</v>
      </c>
      <c r="AB17">
        <v>2</v>
      </c>
      <c r="AC17">
        <v>0</v>
      </c>
      <c r="AE17">
        <v>0</v>
      </c>
      <c r="AF17">
        <v>8</v>
      </c>
      <c r="AG17">
        <v>3</v>
      </c>
      <c r="AH17">
        <v>0</v>
      </c>
      <c r="AI17">
        <v>9</v>
      </c>
      <c r="AJ17" t="s">
        <v>125</v>
      </c>
      <c r="AK17">
        <v>0</v>
      </c>
      <c r="AL17">
        <v>3</v>
      </c>
      <c r="AM17">
        <v>2</v>
      </c>
      <c r="AN17">
        <v>1</v>
      </c>
      <c r="AO17" t="s">
        <v>168</v>
      </c>
      <c r="AP17">
        <v>42.720379999999999</v>
      </c>
      <c r="AQ17" t="s">
        <v>169</v>
      </c>
      <c r="AR17">
        <v>-77.736254000000002</v>
      </c>
      <c r="AS17">
        <v>25</v>
      </c>
      <c r="AT17">
        <v>3650</v>
      </c>
      <c r="AU17" t="s">
        <v>123</v>
      </c>
      <c r="AV17">
        <v>129</v>
      </c>
      <c r="AW17">
        <v>211</v>
      </c>
      <c r="AX17">
        <v>0</v>
      </c>
      <c r="AZ17">
        <f t="shared" si="6"/>
        <v>16641</v>
      </c>
      <c r="BA17">
        <f t="shared" si="7"/>
        <v>44521</v>
      </c>
      <c r="BB17" s="1">
        <f t="shared" si="8"/>
        <v>247.3095226634025</v>
      </c>
      <c r="BJ17">
        <v>1404</v>
      </c>
      <c r="BK17">
        <v>1</v>
      </c>
      <c r="BL17" t="str">
        <f t="shared" si="2"/>
        <v xml:space="preserve">N600C   </v>
      </c>
      <c r="BM17">
        <v>2</v>
      </c>
      <c r="BO17">
        <v>0</v>
      </c>
      <c r="BP17">
        <v>0</v>
      </c>
      <c r="BQ17">
        <v>0</v>
      </c>
      <c r="BR17">
        <v>3750</v>
      </c>
      <c r="BS17">
        <v>100</v>
      </c>
      <c r="BT17" t="s">
        <v>128</v>
      </c>
      <c r="BU17">
        <v>0</v>
      </c>
      <c r="BV17">
        <v>0</v>
      </c>
      <c r="BW17">
        <v>0</v>
      </c>
      <c r="BX17">
        <v>1</v>
      </c>
      <c r="CA17">
        <v>0</v>
      </c>
      <c r="CB17">
        <v>0</v>
      </c>
      <c r="CC17">
        <v>0</v>
      </c>
      <c r="CM17" t="str">
        <f>"17:40:15.163"</f>
        <v>17:40:15.163</v>
      </c>
      <c r="CN17">
        <v>163204322</v>
      </c>
      <c r="CQ17">
        <v>0</v>
      </c>
      <c r="CR17">
        <v>4000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2</v>
      </c>
      <c r="DC17">
        <v>0</v>
      </c>
      <c r="DD17">
        <v>2</v>
      </c>
      <c r="DE17">
        <v>0</v>
      </c>
      <c r="DF17">
        <v>7</v>
      </c>
      <c r="DG17">
        <v>7</v>
      </c>
      <c r="DH17" t="s">
        <v>124</v>
      </c>
      <c r="DI17">
        <v>71</v>
      </c>
      <c r="DJ17">
        <v>2</v>
      </c>
      <c r="DK17" t="s">
        <v>134</v>
      </c>
      <c r="DL17" t="s">
        <v>135</v>
      </c>
      <c r="DO17">
        <v>695645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</row>
    <row r="18" spans="1:131" x14ac:dyDescent="0.35">
      <c r="A18" s="2" t="str">
        <f>"17:40:16.504"</f>
        <v>17:40:16.504</v>
      </c>
      <c r="B18" s="4">
        <f t="shared" si="9"/>
        <v>63616.504000000001</v>
      </c>
      <c r="C18" s="4">
        <f t="shared" si="3"/>
        <v>16.504000000000815</v>
      </c>
      <c r="D18" s="3">
        <f t="shared" si="4"/>
        <v>0.7363021296296296</v>
      </c>
      <c r="E18" s="2">
        <f t="shared" si="5"/>
        <v>0.7363021296296296</v>
      </c>
      <c r="G18" t="str">
        <f t="shared" si="0"/>
        <v>FFDFD7C0</v>
      </c>
      <c r="H18" t="s">
        <v>126</v>
      </c>
      <c r="I18">
        <v>8</v>
      </c>
      <c r="J18">
        <v>1008</v>
      </c>
      <c r="K18" t="s">
        <v>129</v>
      </c>
      <c r="N18" t="s">
        <v>127</v>
      </c>
      <c r="O18">
        <v>0</v>
      </c>
      <c r="P18">
        <v>3</v>
      </c>
      <c r="Q18">
        <v>0</v>
      </c>
      <c r="R18">
        <v>2</v>
      </c>
      <c r="S18">
        <v>1</v>
      </c>
      <c r="T18">
        <v>0</v>
      </c>
      <c r="U18">
        <v>0</v>
      </c>
      <c r="W18" t="str">
        <f>"17:40:16.172"</f>
        <v>17:40:16.172</v>
      </c>
      <c r="X18" t="str">
        <f>"17:40:15.972"</f>
        <v>17:40:15.972</v>
      </c>
      <c r="Y18" t="str">
        <f t="shared" si="1"/>
        <v>A7C771</v>
      </c>
      <c r="Z18">
        <v>0</v>
      </c>
      <c r="AA18">
        <v>0</v>
      </c>
      <c r="AB18">
        <v>2</v>
      </c>
      <c r="AC18">
        <v>0</v>
      </c>
      <c r="AE18">
        <v>0</v>
      </c>
      <c r="AF18">
        <v>8</v>
      </c>
      <c r="AG18">
        <v>3</v>
      </c>
      <c r="AH18">
        <v>0</v>
      </c>
      <c r="AI18">
        <v>9</v>
      </c>
      <c r="AJ18" t="s">
        <v>125</v>
      </c>
      <c r="AK18">
        <v>0</v>
      </c>
      <c r="AL18">
        <v>3</v>
      </c>
      <c r="AM18">
        <v>2</v>
      </c>
      <c r="AN18">
        <v>1</v>
      </c>
      <c r="AO18" t="s">
        <v>170</v>
      </c>
      <c r="AP18">
        <v>42.721452999999997</v>
      </c>
      <c r="AQ18" t="s">
        <v>171</v>
      </c>
      <c r="AR18">
        <v>-77.735353000000003</v>
      </c>
      <c r="AS18">
        <v>25</v>
      </c>
      <c r="AT18">
        <v>3650</v>
      </c>
      <c r="AU18" t="s">
        <v>123</v>
      </c>
      <c r="AV18">
        <v>128</v>
      </c>
      <c r="AW18">
        <v>210</v>
      </c>
      <c r="AX18">
        <v>-64</v>
      </c>
      <c r="AZ18">
        <f t="shared" si="6"/>
        <v>16384</v>
      </c>
      <c r="BA18">
        <f t="shared" si="7"/>
        <v>44100</v>
      </c>
      <c r="BB18" s="1">
        <f t="shared" si="8"/>
        <v>245.93495074917675</v>
      </c>
      <c r="BJ18">
        <v>1404</v>
      </c>
      <c r="BK18">
        <v>1</v>
      </c>
      <c r="BL18" t="str">
        <f t="shared" si="2"/>
        <v xml:space="preserve">N600C   </v>
      </c>
      <c r="BM18">
        <v>2</v>
      </c>
      <c r="BO18">
        <v>0</v>
      </c>
      <c r="BP18">
        <v>0</v>
      </c>
      <c r="BQ18">
        <v>0</v>
      </c>
      <c r="BR18">
        <v>3750</v>
      </c>
      <c r="BS18">
        <v>100</v>
      </c>
      <c r="BT18" t="s">
        <v>128</v>
      </c>
      <c r="BU18">
        <v>0</v>
      </c>
      <c r="BV18">
        <v>0</v>
      </c>
      <c r="BW18">
        <v>0</v>
      </c>
      <c r="BX18">
        <v>1</v>
      </c>
      <c r="CA18">
        <v>0.04</v>
      </c>
      <c r="CB18">
        <v>0</v>
      </c>
      <c r="CC18">
        <v>0</v>
      </c>
      <c r="CM18" t="str">
        <f>"17:40:16.179"</f>
        <v>17:40:16.179</v>
      </c>
      <c r="CN18">
        <v>179385895</v>
      </c>
      <c r="CQ18">
        <v>0</v>
      </c>
      <c r="CR18">
        <v>4000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2</v>
      </c>
      <c r="DC18">
        <v>0</v>
      </c>
      <c r="DD18">
        <v>2</v>
      </c>
      <c r="DE18">
        <v>0</v>
      </c>
      <c r="DF18">
        <v>7</v>
      </c>
      <c r="DG18">
        <v>7</v>
      </c>
      <c r="DH18" t="s">
        <v>124</v>
      </c>
      <c r="DI18">
        <v>71</v>
      </c>
      <c r="DJ18">
        <v>2</v>
      </c>
      <c r="DK18" t="s">
        <v>134</v>
      </c>
      <c r="DL18" t="s">
        <v>135</v>
      </c>
      <c r="DO18">
        <v>696594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</row>
    <row r="19" spans="1:131" x14ac:dyDescent="0.35">
      <c r="A19" s="2" t="str">
        <f>"17:40:17.489"</f>
        <v>17:40:17.489</v>
      </c>
      <c r="B19" s="4">
        <f t="shared" si="9"/>
        <v>63617.489000000001</v>
      </c>
      <c r="C19" s="4">
        <f t="shared" si="3"/>
        <v>17.489000000001397</v>
      </c>
      <c r="D19" s="3">
        <f t="shared" si="4"/>
        <v>0.73631353009259259</v>
      </c>
      <c r="E19" s="2">
        <f t="shared" si="5"/>
        <v>0.73631353009259259</v>
      </c>
      <c r="G19" t="str">
        <f t="shared" si="0"/>
        <v>FFDFD7C0</v>
      </c>
      <c r="H19" t="s">
        <v>126</v>
      </c>
      <c r="I19">
        <v>8</v>
      </c>
      <c r="J19">
        <v>1008</v>
      </c>
      <c r="K19" t="s">
        <v>129</v>
      </c>
      <c r="N19" t="s">
        <v>127</v>
      </c>
      <c r="O19">
        <v>0</v>
      </c>
      <c r="P19">
        <v>3</v>
      </c>
      <c r="Q19">
        <v>0</v>
      </c>
      <c r="R19">
        <v>2</v>
      </c>
      <c r="S19">
        <v>1</v>
      </c>
      <c r="T19">
        <v>0</v>
      </c>
      <c r="U19">
        <v>0</v>
      </c>
      <c r="W19" t="str">
        <f>"17:40:17.164"</f>
        <v>17:40:17.164</v>
      </c>
      <c r="X19" t="str">
        <f>"17:40:16.864"</f>
        <v>17:40:16.864</v>
      </c>
      <c r="Y19" t="str">
        <f t="shared" si="1"/>
        <v>A7C771</v>
      </c>
      <c r="Z19">
        <v>0</v>
      </c>
      <c r="AA19">
        <v>0</v>
      </c>
      <c r="AB19">
        <v>2</v>
      </c>
      <c r="AC19">
        <v>0</v>
      </c>
      <c r="AE19">
        <v>0</v>
      </c>
      <c r="AF19">
        <v>8</v>
      </c>
      <c r="AG19">
        <v>3</v>
      </c>
      <c r="AH19">
        <v>0</v>
      </c>
      <c r="AI19">
        <v>9</v>
      </c>
      <c r="AJ19" t="s">
        <v>125</v>
      </c>
      <c r="AK19">
        <v>0</v>
      </c>
      <c r="AL19">
        <v>3</v>
      </c>
      <c r="AM19">
        <v>2</v>
      </c>
      <c r="AN19">
        <v>1</v>
      </c>
      <c r="AO19" t="s">
        <v>172</v>
      </c>
      <c r="AP19">
        <v>42.722439999999999</v>
      </c>
      <c r="AQ19" t="s">
        <v>173</v>
      </c>
      <c r="AR19">
        <v>-77.734600999999998</v>
      </c>
      <c r="AS19">
        <v>25</v>
      </c>
      <c r="AT19">
        <v>3625</v>
      </c>
      <c r="AU19" t="s">
        <v>123</v>
      </c>
      <c r="AV19">
        <v>127</v>
      </c>
      <c r="AW19">
        <v>209</v>
      </c>
      <c r="AX19">
        <v>-128</v>
      </c>
      <c r="AZ19">
        <f t="shared" si="6"/>
        <v>16129</v>
      </c>
      <c r="BA19">
        <f t="shared" si="7"/>
        <v>43681</v>
      </c>
      <c r="BB19" s="1">
        <f t="shared" si="8"/>
        <v>244.56083087853622</v>
      </c>
      <c r="BJ19">
        <v>1404</v>
      </c>
      <c r="BK19">
        <v>1</v>
      </c>
      <c r="BL19" t="str">
        <f t="shared" si="2"/>
        <v xml:space="preserve">N600C   </v>
      </c>
      <c r="BM19">
        <v>2</v>
      </c>
      <c r="BO19">
        <v>0</v>
      </c>
      <c r="BP19">
        <v>0</v>
      </c>
      <c r="BQ19">
        <v>0</v>
      </c>
      <c r="BR19">
        <v>3725</v>
      </c>
      <c r="BS19">
        <v>100</v>
      </c>
      <c r="BT19" t="s">
        <v>128</v>
      </c>
      <c r="BU19">
        <v>0</v>
      </c>
      <c r="BV19">
        <v>0</v>
      </c>
      <c r="BW19">
        <v>0</v>
      </c>
      <c r="BX19">
        <v>1</v>
      </c>
      <c r="CA19">
        <v>0</v>
      </c>
      <c r="CB19">
        <v>0</v>
      </c>
      <c r="CC19">
        <v>0</v>
      </c>
      <c r="CM19" t="str">
        <f>"17:40:17.172"</f>
        <v>17:40:17.172</v>
      </c>
      <c r="CN19">
        <v>171565838</v>
      </c>
      <c r="CQ19">
        <v>0</v>
      </c>
      <c r="CR19">
        <v>4000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2</v>
      </c>
      <c r="DC19">
        <v>0</v>
      </c>
      <c r="DD19">
        <v>2</v>
      </c>
      <c r="DE19">
        <v>0</v>
      </c>
      <c r="DF19">
        <v>7</v>
      </c>
      <c r="DG19">
        <v>7</v>
      </c>
      <c r="DH19" t="s">
        <v>124</v>
      </c>
      <c r="DI19">
        <v>71</v>
      </c>
      <c r="DJ19">
        <v>1</v>
      </c>
      <c r="DK19" t="s">
        <v>134</v>
      </c>
      <c r="DL19" t="s">
        <v>135</v>
      </c>
      <c r="DO19">
        <v>11213185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</row>
    <row r="20" spans="1:131" x14ac:dyDescent="0.35">
      <c r="A20" s="2" t="str">
        <f>"17:40:18.381"</f>
        <v>17:40:18.381</v>
      </c>
      <c r="B20" s="4">
        <f t="shared" si="9"/>
        <v>63618.381000000001</v>
      </c>
      <c r="C20" s="4">
        <f t="shared" si="3"/>
        <v>18.381000000001222</v>
      </c>
      <c r="D20" s="3">
        <f t="shared" si="4"/>
        <v>0.73632385416666668</v>
      </c>
      <c r="E20" s="2">
        <f t="shared" si="5"/>
        <v>0.73632385416666668</v>
      </c>
      <c r="G20" t="str">
        <f t="shared" si="0"/>
        <v>FFDFD7C0</v>
      </c>
      <c r="H20" t="s">
        <v>126</v>
      </c>
      <c r="I20">
        <v>8</v>
      </c>
      <c r="J20">
        <v>1008</v>
      </c>
      <c r="K20" t="s">
        <v>129</v>
      </c>
      <c r="N20" t="s">
        <v>127</v>
      </c>
      <c r="O20">
        <v>0</v>
      </c>
      <c r="P20">
        <v>3</v>
      </c>
      <c r="Q20">
        <v>0</v>
      </c>
      <c r="R20">
        <v>2</v>
      </c>
      <c r="S20">
        <v>1</v>
      </c>
      <c r="T20">
        <v>0</v>
      </c>
      <c r="U20">
        <v>0</v>
      </c>
      <c r="W20" t="str">
        <f>"17:40:18.023"</f>
        <v>17:40:18.023</v>
      </c>
      <c r="X20" t="str">
        <f>"17:40:18.023"</f>
        <v>17:40:18.023</v>
      </c>
      <c r="Y20" t="str">
        <f t="shared" si="1"/>
        <v>A7C771</v>
      </c>
      <c r="Z20">
        <v>0</v>
      </c>
      <c r="AA20">
        <v>0</v>
      </c>
      <c r="AB20">
        <v>2</v>
      </c>
      <c r="AC20">
        <v>0</v>
      </c>
      <c r="AE20">
        <v>0</v>
      </c>
      <c r="AF20">
        <v>8</v>
      </c>
      <c r="AG20">
        <v>3</v>
      </c>
      <c r="AH20">
        <v>0</v>
      </c>
      <c r="AI20">
        <v>9</v>
      </c>
      <c r="AJ20" t="s">
        <v>125</v>
      </c>
      <c r="AK20">
        <v>0</v>
      </c>
      <c r="AL20">
        <v>3</v>
      </c>
      <c r="AM20">
        <v>2</v>
      </c>
      <c r="AN20">
        <v>1</v>
      </c>
      <c r="AO20" t="s">
        <v>174</v>
      </c>
      <c r="AP20">
        <v>42.723168999999999</v>
      </c>
      <c r="AQ20" t="s">
        <v>175</v>
      </c>
      <c r="AR20">
        <v>-77.733958000000001</v>
      </c>
      <c r="AS20">
        <v>25</v>
      </c>
      <c r="AT20">
        <v>3625</v>
      </c>
      <c r="AU20" t="s">
        <v>123</v>
      </c>
      <c r="AV20">
        <v>127</v>
      </c>
      <c r="AW20">
        <v>208</v>
      </c>
      <c r="AX20">
        <v>-192</v>
      </c>
      <c r="AZ20">
        <f t="shared" si="6"/>
        <v>16129</v>
      </c>
      <c r="BA20">
        <f t="shared" si="7"/>
        <v>43264</v>
      </c>
      <c r="BB20" s="1">
        <f t="shared" si="8"/>
        <v>243.70679104202247</v>
      </c>
      <c r="BJ20">
        <v>1404</v>
      </c>
      <c r="BK20">
        <v>1</v>
      </c>
      <c r="BL20" t="str">
        <f t="shared" si="2"/>
        <v xml:space="preserve">N600C   </v>
      </c>
      <c r="BM20">
        <v>2</v>
      </c>
      <c r="BO20">
        <v>0</v>
      </c>
      <c r="BP20">
        <v>0</v>
      </c>
      <c r="BQ20">
        <v>0</v>
      </c>
      <c r="BR20">
        <v>3725</v>
      </c>
      <c r="BS20">
        <v>100</v>
      </c>
      <c r="BT20" t="s">
        <v>128</v>
      </c>
      <c r="BU20">
        <v>0</v>
      </c>
      <c r="BV20">
        <v>0</v>
      </c>
      <c r="BW20">
        <v>0</v>
      </c>
      <c r="BX20">
        <v>1</v>
      </c>
      <c r="CA20">
        <v>0</v>
      </c>
      <c r="CB20">
        <v>0</v>
      </c>
      <c r="CC20">
        <v>0</v>
      </c>
      <c r="CM20" t="str">
        <f>"17:40:18.028"</f>
        <v>17:40:18.028</v>
      </c>
      <c r="CN20">
        <v>27725733</v>
      </c>
      <c r="CQ20">
        <v>0</v>
      </c>
      <c r="CR20">
        <v>4000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2</v>
      </c>
      <c r="DC20">
        <v>0</v>
      </c>
      <c r="DD20">
        <v>2</v>
      </c>
      <c r="DE20">
        <v>0</v>
      </c>
      <c r="DF20">
        <v>7</v>
      </c>
      <c r="DG20">
        <v>7</v>
      </c>
      <c r="DH20" t="s">
        <v>124</v>
      </c>
      <c r="DI20">
        <v>71</v>
      </c>
      <c r="DJ20">
        <v>2</v>
      </c>
      <c r="DK20" t="s">
        <v>134</v>
      </c>
      <c r="DL20" t="s">
        <v>135</v>
      </c>
      <c r="DO20">
        <v>698353</v>
      </c>
      <c r="DQ20">
        <v>0</v>
      </c>
      <c r="DR20">
        <v>0</v>
      </c>
      <c r="DS20">
        <v>1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</row>
    <row r="21" spans="1:131" x14ac:dyDescent="0.35">
      <c r="A21" s="2" t="str">
        <f>"17:40:19.317"</f>
        <v>17:40:19.317</v>
      </c>
      <c r="B21" s="4">
        <f t="shared" si="9"/>
        <v>63619.31700000001</v>
      </c>
      <c r="C21" s="4">
        <f t="shared" si="3"/>
        <v>19.317000000010012</v>
      </c>
      <c r="D21" s="3">
        <f t="shared" si="4"/>
        <v>0.73633468750000008</v>
      </c>
      <c r="E21" s="2">
        <f t="shared" si="5"/>
        <v>0.73633468750000008</v>
      </c>
      <c r="G21" t="str">
        <f t="shared" si="0"/>
        <v>FFDFD7C0</v>
      </c>
      <c r="H21" t="s">
        <v>126</v>
      </c>
      <c r="I21">
        <v>8</v>
      </c>
      <c r="J21">
        <v>1008</v>
      </c>
      <c r="K21" t="s">
        <v>129</v>
      </c>
      <c r="N21" t="s">
        <v>127</v>
      </c>
      <c r="O21">
        <v>0</v>
      </c>
      <c r="P21">
        <v>3</v>
      </c>
      <c r="Q21">
        <v>0</v>
      </c>
      <c r="R21">
        <v>2</v>
      </c>
      <c r="S21">
        <v>1</v>
      </c>
      <c r="T21">
        <v>0</v>
      </c>
      <c r="U21">
        <v>0</v>
      </c>
      <c r="W21" t="str">
        <f>"17:40:19.086"</f>
        <v>17:40:19.086</v>
      </c>
      <c r="X21" t="str">
        <f>"17:40:18.986"</f>
        <v>17:40:18.986</v>
      </c>
      <c r="Y21" t="str">
        <f t="shared" si="1"/>
        <v>A7C771</v>
      </c>
      <c r="Z21">
        <v>0</v>
      </c>
      <c r="AA21">
        <v>0</v>
      </c>
      <c r="AB21">
        <v>2</v>
      </c>
      <c r="AC21">
        <v>0</v>
      </c>
      <c r="AE21">
        <v>0</v>
      </c>
      <c r="AF21">
        <v>8</v>
      </c>
      <c r="AG21">
        <v>3</v>
      </c>
      <c r="AH21">
        <v>0</v>
      </c>
      <c r="AI21">
        <v>9</v>
      </c>
      <c r="AJ21" t="s">
        <v>125</v>
      </c>
      <c r="AK21">
        <v>0</v>
      </c>
      <c r="AL21">
        <v>3</v>
      </c>
      <c r="AM21">
        <v>2</v>
      </c>
      <c r="AN21">
        <v>1</v>
      </c>
      <c r="AO21" t="s">
        <v>176</v>
      </c>
      <c r="AP21">
        <v>42.724263999999998</v>
      </c>
      <c r="AQ21" t="s">
        <v>177</v>
      </c>
      <c r="AR21">
        <v>-77.733078000000006</v>
      </c>
      <c r="AS21">
        <v>25</v>
      </c>
      <c r="AT21">
        <v>3625</v>
      </c>
      <c r="AU21" t="s">
        <v>123</v>
      </c>
      <c r="AV21">
        <v>126</v>
      </c>
      <c r="AW21">
        <v>207</v>
      </c>
      <c r="AX21">
        <v>-192</v>
      </c>
      <c r="AZ21">
        <f t="shared" si="6"/>
        <v>15876</v>
      </c>
      <c r="BA21">
        <f t="shared" si="7"/>
        <v>42849</v>
      </c>
      <c r="BB21" s="1">
        <f t="shared" si="8"/>
        <v>242.33241632105268</v>
      </c>
      <c r="BJ21">
        <v>1404</v>
      </c>
      <c r="BK21">
        <v>1</v>
      </c>
      <c r="BL21" t="str">
        <f t="shared" si="2"/>
        <v xml:space="preserve">N600C   </v>
      </c>
      <c r="BM21">
        <v>2</v>
      </c>
      <c r="BO21">
        <v>0</v>
      </c>
      <c r="BP21">
        <v>0</v>
      </c>
      <c r="BQ21">
        <v>0</v>
      </c>
      <c r="BR21">
        <v>3725</v>
      </c>
      <c r="BS21">
        <v>100</v>
      </c>
      <c r="BT21" t="s">
        <v>128</v>
      </c>
      <c r="BU21">
        <v>0</v>
      </c>
      <c r="BV21">
        <v>0</v>
      </c>
      <c r="BW21">
        <v>0</v>
      </c>
      <c r="BX21">
        <v>1</v>
      </c>
      <c r="CA21">
        <v>0</v>
      </c>
      <c r="CB21">
        <v>0</v>
      </c>
      <c r="CC21">
        <v>0</v>
      </c>
      <c r="CM21" t="str">
        <f>"17:40:19.092"</f>
        <v>17:40:19.092</v>
      </c>
      <c r="CN21">
        <v>91925592</v>
      </c>
      <c r="CQ21">
        <v>0</v>
      </c>
      <c r="CR21">
        <v>4000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2</v>
      </c>
      <c r="DC21">
        <v>0</v>
      </c>
      <c r="DD21">
        <v>2</v>
      </c>
      <c r="DE21">
        <v>0</v>
      </c>
      <c r="DF21">
        <v>7</v>
      </c>
      <c r="DG21">
        <v>7</v>
      </c>
      <c r="DH21" t="s">
        <v>124</v>
      </c>
      <c r="DI21">
        <v>71</v>
      </c>
      <c r="DJ21">
        <v>1</v>
      </c>
      <c r="DK21" t="s">
        <v>134</v>
      </c>
      <c r="DL21" t="s">
        <v>135</v>
      </c>
      <c r="DO21">
        <v>11214778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</row>
    <row r="22" spans="1:131" x14ac:dyDescent="0.35">
      <c r="A22" s="2" t="str">
        <f>"17:40:20.395"</f>
        <v>17:40:20.395</v>
      </c>
      <c r="B22" s="4">
        <f t="shared" si="9"/>
        <v>63620.39499999999</v>
      </c>
      <c r="C22" s="4">
        <f t="shared" si="3"/>
        <v>20.394999999989523</v>
      </c>
      <c r="D22" s="3">
        <f t="shared" si="4"/>
        <v>0.73634716435185177</v>
      </c>
      <c r="E22" s="2">
        <f t="shared" si="5"/>
        <v>0.73634716435185177</v>
      </c>
      <c r="G22" t="str">
        <f t="shared" si="0"/>
        <v>FFDFD7C0</v>
      </c>
      <c r="H22" t="s">
        <v>126</v>
      </c>
      <c r="I22">
        <v>8</v>
      </c>
      <c r="J22">
        <v>1008</v>
      </c>
      <c r="K22" t="s">
        <v>129</v>
      </c>
      <c r="N22" t="s">
        <v>127</v>
      </c>
      <c r="O22">
        <v>0</v>
      </c>
      <c r="P22">
        <v>3</v>
      </c>
      <c r="Q22">
        <v>0</v>
      </c>
      <c r="R22">
        <v>2</v>
      </c>
      <c r="S22">
        <v>1</v>
      </c>
      <c r="T22">
        <v>0</v>
      </c>
      <c r="U22">
        <v>0</v>
      </c>
      <c r="W22" t="str">
        <f>"17:40:20.063"</f>
        <v>17:40:20.063</v>
      </c>
      <c r="X22" t="str">
        <f>"17:40:19.863"</f>
        <v>17:40:19.863</v>
      </c>
      <c r="Y22" t="str">
        <f t="shared" si="1"/>
        <v>A7C771</v>
      </c>
      <c r="Z22">
        <v>0</v>
      </c>
      <c r="AA22">
        <v>0</v>
      </c>
      <c r="AB22">
        <v>2</v>
      </c>
      <c r="AC22">
        <v>0</v>
      </c>
      <c r="AE22">
        <v>0</v>
      </c>
      <c r="AF22">
        <v>8</v>
      </c>
      <c r="AG22">
        <v>3</v>
      </c>
      <c r="AH22">
        <v>0</v>
      </c>
      <c r="AI22">
        <v>9</v>
      </c>
      <c r="AJ22" t="s">
        <v>125</v>
      </c>
      <c r="AK22">
        <v>0</v>
      </c>
      <c r="AL22">
        <v>3</v>
      </c>
      <c r="AM22">
        <v>2</v>
      </c>
      <c r="AN22">
        <v>1</v>
      </c>
      <c r="AO22" t="s">
        <v>178</v>
      </c>
      <c r="AP22">
        <v>42.725121999999999</v>
      </c>
      <c r="AQ22" t="s">
        <v>179</v>
      </c>
      <c r="AR22">
        <v>-77.732370000000003</v>
      </c>
      <c r="AS22">
        <v>25</v>
      </c>
      <c r="AT22">
        <v>3625</v>
      </c>
      <c r="AU22" t="s">
        <v>123</v>
      </c>
      <c r="AV22">
        <v>125</v>
      </c>
      <c r="AW22">
        <v>207</v>
      </c>
      <c r="AX22">
        <v>-128</v>
      </c>
      <c r="AZ22">
        <f t="shared" si="6"/>
        <v>15625</v>
      </c>
      <c r="BA22">
        <f t="shared" si="7"/>
        <v>42849</v>
      </c>
      <c r="BB22" s="1">
        <f t="shared" si="8"/>
        <v>241.81397809059757</v>
      </c>
      <c r="BJ22">
        <v>1404</v>
      </c>
      <c r="BK22">
        <v>1</v>
      </c>
      <c r="BL22" t="str">
        <f t="shared" si="2"/>
        <v xml:space="preserve">N600C   </v>
      </c>
      <c r="BM22">
        <v>2</v>
      </c>
      <c r="BO22">
        <v>0</v>
      </c>
      <c r="BP22">
        <v>0</v>
      </c>
      <c r="BQ22">
        <v>0</v>
      </c>
      <c r="BR22">
        <v>3725</v>
      </c>
      <c r="BS22">
        <v>100</v>
      </c>
      <c r="BT22" t="s">
        <v>128</v>
      </c>
      <c r="BU22">
        <v>0</v>
      </c>
      <c r="BV22">
        <v>0</v>
      </c>
      <c r="BW22">
        <v>0</v>
      </c>
      <c r="BX22">
        <v>1</v>
      </c>
      <c r="CA22">
        <v>0</v>
      </c>
      <c r="CB22">
        <v>0</v>
      </c>
      <c r="CC22">
        <v>0</v>
      </c>
      <c r="CM22" t="str">
        <f>"17:40:20.068"</f>
        <v>17:40:20.068</v>
      </c>
      <c r="CN22">
        <v>68109229</v>
      </c>
      <c r="CQ22">
        <v>0</v>
      </c>
      <c r="CR22">
        <v>4000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2</v>
      </c>
      <c r="DC22">
        <v>0</v>
      </c>
      <c r="DD22">
        <v>2</v>
      </c>
      <c r="DE22">
        <v>0</v>
      </c>
      <c r="DF22">
        <v>7</v>
      </c>
      <c r="DG22">
        <v>7</v>
      </c>
      <c r="DH22" t="s">
        <v>124</v>
      </c>
      <c r="DI22">
        <v>71</v>
      </c>
      <c r="DJ22">
        <v>2</v>
      </c>
      <c r="DK22" t="s">
        <v>134</v>
      </c>
      <c r="DL22" t="s">
        <v>135</v>
      </c>
      <c r="DO22">
        <v>700062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</row>
    <row r="23" spans="1:131" x14ac:dyDescent="0.35">
      <c r="A23" s="2" t="str">
        <f>"17:40:21.364"</f>
        <v>17:40:21.364</v>
      </c>
      <c r="B23" s="4">
        <f t="shared" si="9"/>
        <v>63621.364000000009</v>
      </c>
      <c r="C23" s="4">
        <f t="shared" si="3"/>
        <v>21.364000000008673</v>
      </c>
      <c r="D23" s="3">
        <f t="shared" si="4"/>
        <v>0.73635837962962969</v>
      </c>
      <c r="E23" s="2">
        <f t="shared" si="5"/>
        <v>0.73635837962962969</v>
      </c>
      <c r="G23" t="str">
        <f t="shared" si="0"/>
        <v>FFDFD7C0</v>
      </c>
      <c r="H23" t="s">
        <v>126</v>
      </c>
      <c r="I23">
        <v>8</v>
      </c>
      <c r="J23">
        <v>1008</v>
      </c>
      <c r="K23" t="s">
        <v>129</v>
      </c>
      <c r="N23" t="s">
        <v>127</v>
      </c>
      <c r="O23">
        <v>0</v>
      </c>
      <c r="P23">
        <v>3</v>
      </c>
      <c r="Q23">
        <v>0</v>
      </c>
      <c r="R23">
        <v>2</v>
      </c>
      <c r="S23">
        <v>1</v>
      </c>
      <c r="T23">
        <v>0</v>
      </c>
      <c r="U23">
        <v>0</v>
      </c>
      <c r="W23" t="str">
        <f>"17:40:21.078"</f>
        <v>17:40:21.078</v>
      </c>
      <c r="X23" t="str">
        <f>"17:40:20.978"</f>
        <v>17:40:20.978</v>
      </c>
      <c r="Y23" t="str">
        <f t="shared" si="1"/>
        <v>A7C771</v>
      </c>
      <c r="Z23">
        <v>0</v>
      </c>
      <c r="AA23">
        <v>0</v>
      </c>
      <c r="AB23">
        <v>2</v>
      </c>
      <c r="AC23">
        <v>0</v>
      </c>
      <c r="AE23">
        <v>0</v>
      </c>
      <c r="AF23">
        <v>8</v>
      </c>
      <c r="AG23">
        <v>3</v>
      </c>
      <c r="AH23">
        <v>0</v>
      </c>
      <c r="AI23">
        <v>9</v>
      </c>
      <c r="AJ23" t="s">
        <v>125</v>
      </c>
      <c r="AK23">
        <v>0</v>
      </c>
      <c r="AL23">
        <v>3</v>
      </c>
      <c r="AM23">
        <v>2</v>
      </c>
      <c r="AN23">
        <v>1</v>
      </c>
      <c r="AO23" t="s">
        <v>180</v>
      </c>
      <c r="AP23">
        <v>42.726151999999999</v>
      </c>
      <c r="AQ23" t="s">
        <v>181</v>
      </c>
      <c r="AR23">
        <v>-77.731511999999995</v>
      </c>
      <c r="AS23">
        <v>25</v>
      </c>
      <c r="AT23">
        <v>3625</v>
      </c>
      <c r="AU23" t="s">
        <v>123</v>
      </c>
      <c r="AV23">
        <v>124</v>
      </c>
      <c r="AW23">
        <v>206</v>
      </c>
      <c r="AX23">
        <v>-64</v>
      </c>
      <c r="AZ23">
        <f t="shared" si="6"/>
        <v>15376</v>
      </c>
      <c r="BA23">
        <f t="shared" si="7"/>
        <v>42436</v>
      </c>
      <c r="BB23" s="1">
        <f t="shared" si="8"/>
        <v>240.44126101815388</v>
      </c>
      <c r="BJ23">
        <v>1404</v>
      </c>
      <c r="BK23">
        <v>1</v>
      </c>
      <c r="BL23" t="str">
        <f t="shared" si="2"/>
        <v xml:space="preserve">N600C   </v>
      </c>
      <c r="BM23">
        <v>2</v>
      </c>
      <c r="BO23">
        <v>0</v>
      </c>
      <c r="BP23">
        <v>0</v>
      </c>
      <c r="BQ23">
        <v>0</v>
      </c>
      <c r="BR23">
        <v>3725</v>
      </c>
      <c r="BS23">
        <v>100</v>
      </c>
      <c r="BT23" t="s">
        <v>128</v>
      </c>
      <c r="BU23">
        <v>0</v>
      </c>
      <c r="BV23">
        <v>0</v>
      </c>
      <c r="BW23">
        <v>0</v>
      </c>
      <c r="BX23">
        <v>1</v>
      </c>
      <c r="CA23">
        <v>0</v>
      </c>
      <c r="CB23">
        <v>0</v>
      </c>
      <c r="CC23">
        <v>0</v>
      </c>
      <c r="CM23" t="str">
        <f>"17:40:21.084"</f>
        <v>17:40:21.084</v>
      </c>
      <c r="CN23">
        <v>84296397</v>
      </c>
      <c r="CQ23">
        <v>0</v>
      </c>
      <c r="CR23">
        <v>4000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2</v>
      </c>
      <c r="DC23">
        <v>0</v>
      </c>
      <c r="DD23">
        <v>2</v>
      </c>
      <c r="DE23">
        <v>0</v>
      </c>
      <c r="DF23">
        <v>7</v>
      </c>
      <c r="DG23">
        <v>7</v>
      </c>
      <c r="DH23" t="s">
        <v>124</v>
      </c>
      <c r="DI23">
        <v>71</v>
      </c>
      <c r="DJ23">
        <v>2</v>
      </c>
      <c r="DK23" t="s">
        <v>134</v>
      </c>
      <c r="DL23" t="s">
        <v>135</v>
      </c>
      <c r="DO23">
        <v>701024</v>
      </c>
      <c r="DQ23">
        <v>0</v>
      </c>
      <c r="DR23">
        <v>0</v>
      </c>
      <c r="DS23">
        <v>1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</row>
    <row r="24" spans="1:131" x14ac:dyDescent="0.35">
      <c r="A24" s="2" t="str">
        <f>"17:40:22.583"</f>
        <v>17:40:22.583</v>
      </c>
      <c r="B24" s="4">
        <f t="shared" si="9"/>
        <v>63622.582999999999</v>
      </c>
      <c r="C24" s="4">
        <f t="shared" si="3"/>
        <v>22.582999999998719</v>
      </c>
      <c r="D24" s="3">
        <f t="shared" si="4"/>
        <v>0.73637248842592595</v>
      </c>
      <c r="E24" s="2">
        <f t="shared" si="5"/>
        <v>0.73637248842592595</v>
      </c>
      <c r="G24" t="str">
        <f t="shared" si="0"/>
        <v>FFDFD7C0</v>
      </c>
      <c r="H24" t="s">
        <v>126</v>
      </c>
      <c r="I24">
        <v>8</v>
      </c>
      <c r="J24">
        <v>1008</v>
      </c>
      <c r="K24" t="s">
        <v>129</v>
      </c>
      <c r="N24" t="s">
        <v>127</v>
      </c>
      <c r="O24">
        <v>0</v>
      </c>
      <c r="P24">
        <v>3</v>
      </c>
      <c r="Q24">
        <v>0</v>
      </c>
      <c r="R24">
        <v>2</v>
      </c>
      <c r="S24">
        <v>1</v>
      </c>
      <c r="T24">
        <v>0</v>
      </c>
      <c r="U24">
        <v>0</v>
      </c>
      <c r="W24" t="str">
        <f>"17:40:22.188"</f>
        <v>17:40:22.188</v>
      </c>
      <c r="X24" t="str">
        <f>"17:40:22.088"</f>
        <v>17:40:22.088</v>
      </c>
      <c r="Y24" t="str">
        <f t="shared" si="1"/>
        <v>A7C771</v>
      </c>
      <c r="Z24">
        <v>0</v>
      </c>
      <c r="AA24">
        <v>0</v>
      </c>
      <c r="AB24">
        <v>2</v>
      </c>
      <c r="AC24">
        <v>0</v>
      </c>
      <c r="AE24">
        <v>0</v>
      </c>
      <c r="AF24">
        <v>8</v>
      </c>
      <c r="AG24">
        <v>3</v>
      </c>
      <c r="AH24">
        <v>0</v>
      </c>
      <c r="AI24">
        <v>9</v>
      </c>
      <c r="AJ24" t="s">
        <v>125</v>
      </c>
      <c r="AK24">
        <v>0</v>
      </c>
      <c r="AL24">
        <v>3</v>
      </c>
      <c r="AM24">
        <v>2</v>
      </c>
      <c r="AN24">
        <v>1</v>
      </c>
      <c r="AO24" t="s">
        <v>182</v>
      </c>
      <c r="AP24">
        <v>42.727181999999999</v>
      </c>
      <c r="AQ24" t="s">
        <v>183</v>
      </c>
      <c r="AR24">
        <v>-77.730695999999995</v>
      </c>
      <c r="AS24">
        <v>25</v>
      </c>
      <c r="AT24">
        <v>3625</v>
      </c>
      <c r="AU24" t="s">
        <v>123</v>
      </c>
      <c r="AV24">
        <v>123</v>
      </c>
      <c r="AW24">
        <v>205</v>
      </c>
      <c r="AX24">
        <v>-64</v>
      </c>
      <c r="AZ24">
        <f t="shared" si="6"/>
        <v>15129</v>
      </c>
      <c r="BA24">
        <f t="shared" si="7"/>
        <v>42025</v>
      </c>
      <c r="BB24" s="1">
        <f t="shared" si="8"/>
        <v>239.06902768865731</v>
      </c>
      <c r="BJ24">
        <v>1404</v>
      </c>
      <c r="BK24">
        <v>1</v>
      </c>
      <c r="BL24" t="str">
        <f t="shared" si="2"/>
        <v xml:space="preserve">N600C   </v>
      </c>
      <c r="BM24">
        <v>2</v>
      </c>
      <c r="BO24">
        <v>0</v>
      </c>
      <c r="BP24">
        <v>0</v>
      </c>
      <c r="BQ24">
        <v>0</v>
      </c>
      <c r="BR24">
        <v>3725</v>
      </c>
      <c r="BS24">
        <v>100</v>
      </c>
      <c r="BT24" t="s">
        <v>128</v>
      </c>
      <c r="BU24">
        <v>0</v>
      </c>
      <c r="BV24">
        <v>0</v>
      </c>
      <c r="BW24">
        <v>0</v>
      </c>
      <c r="BX24">
        <v>1</v>
      </c>
      <c r="CA24">
        <v>0</v>
      </c>
      <c r="CB24">
        <v>0</v>
      </c>
      <c r="CC24">
        <v>0</v>
      </c>
      <c r="CM24" t="str">
        <f>"17:40:22.189"</f>
        <v>17:40:22.189</v>
      </c>
      <c r="CN24">
        <v>188524004</v>
      </c>
      <c r="CQ24">
        <v>0</v>
      </c>
      <c r="CR24">
        <v>4000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2</v>
      </c>
      <c r="DC24">
        <v>0</v>
      </c>
      <c r="DD24">
        <v>2</v>
      </c>
      <c r="DE24">
        <v>0</v>
      </c>
      <c r="DF24">
        <v>7</v>
      </c>
      <c r="DG24">
        <v>7</v>
      </c>
      <c r="DH24" t="s">
        <v>124</v>
      </c>
      <c r="DI24">
        <v>71</v>
      </c>
      <c r="DJ24">
        <v>2</v>
      </c>
      <c r="DK24" t="s">
        <v>134</v>
      </c>
      <c r="DL24" t="s">
        <v>135</v>
      </c>
      <c r="DO24">
        <v>702187</v>
      </c>
      <c r="DQ24">
        <v>0</v>
      </c>
      <c r="DR24">
        <v>0</v>
      </c>
      <c r="DS24">
        <v>1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</row>
    <row r="25" spans="1:131" x14ac:dyDescent="0.35">
      <c r="A25" s="2" t="str">
        <f>"17:40:23.568"</f>
        <v>17:40:23.568</v>
      </c>
      <c r="B25" s="4">
        <f t="shared" si="9"/>
        <v>63623.567999999992</v>
      </c>
      <c r="C25" s="4">
        <f t="shared" si="3"/>
        <v>23.567999999992026</v>
      </c>
      <c r="D25" s="3">
        <f t="shared" si="4"/>
        <v>0.73638388888888884</v>
      </c>
      <c r="E25" s="2">
        <f t="shared" si="5"/>
        <v>0.73638388888888884</v>
      </c>
      <c r="G25" t="str">
        <f t="shared" si="0"/>
        <v>FFDFD7C0</v>
      </c>
      <c r="H25" t="s">
        <v>126</v>
      </c>
      <c r="I25">
        <v>8</v>
      </c>
      <c r="J25">
        <v>1008</v>
      </c>
      <c r="K25" t="s">
        <v>129</v>
      </c>
      <c r="N25" t="s">
        <v>127</v>
      </c>
      <c r="O25">
        <v>0</v>
      </c>
      <c r="P25">
        <v>3</v>
      </c>
      <c r="Q25">
        <v>0</v>
      </c>
      <c r="R25">
        <v>2</v>
      </c>
      <c r="S25">
        <v>1</v>
      </c>
      <c r="T25">
        <v>0</v>
      </c>
      <c r="U25">
        <v>0</v>
      </c>
      <c r="W25" t="str">
        <f>"17:40:23.180"</f>
        <v>17:40:23.180</v>
      </c>
      <c r="X25" t="str">
        <f>"17:40:22.980"</f>
        <v>17:40:22.980</v>
      </c>
      <c r="Y25" t="str">
        <f t="shared" si="1"/>
        <v>A7C771</v>
      </c>
      <c r="Z25">
        <v>0</v>
      </c>
      <c r="AA25">
        <v>0</v>
      </c>
      <c r="AB25">
        <v>2</v>
      </c>
      <c r="AC25">
        <v>0</v>
      </c>
      <c r="AE25">
        <v>0</v>
      </c>
      <c r="AF25">
        <v>8</v>
      </c>
      <c r="AG25">
        <v>3</v>
      </c>
      <c r="AH25">
        <v>0</v>
      </c>
      <c r="AI25">
        <v>9</v>
      </c>
      <c r="AJ25" t="s">
        <v>125</v>
      </c>
      <c r="AK25">
        <v>0</v>
      </c>
      <c r="AL25">
        <v>3</v>
      </c>
      <c r="AM25">
        <v>2</v>
      </c>
      <c r="AN25">
        <v>1</v>
      </c>
      <c r="AO25" t="s">
        <v>184</v>
      </c>
      <c r="AP25">
        <v>42.728104999999999</v>
      </c>
      <c r="AQ25" t="s">
        <v>185</v>
      </c>
      <c r="AR25">
        <v>-77.729923999999997</v>
      </c>
      <c r="AS25">
        <v>25</v>
      </c>
      <c r="AT25">
        <v>3625</v>
      </c>
      <c r="AU25" t="s">
        <v>123</v>
      </c>
      <c r="AV25">
        <v>123</v>
      </c>
      <c r="AW25">
        <v>203</v>
      </c>
      <c r="AX25">
        <v>0</v>
      </c>
      <c r="AZ25">
        <f t="shared" si="6"/>
        <v>15129</v>
      </c>
      <c r="BA25">
        <f t="shared" si="7"/>
        <v>41209</v>
      </c>
      <c r="BB25" s="1">
        <f t="shared" si="8"/>
        <v>237.35627229968034</v>
      </c>
      <c r="BJ25">
        <v>1404</v>
      </c>
      <c r="BK25">
        <v>1</v>
      </c>
      <c r="BL25" t="str">
        <f t="shared" si="2"/>
        <v xml:space="preserve">N600C   </v>
      </c>
      <c r="BM25">
        <v>2</v>
      </c>
      <c r="BO25">
        <v>0</v>
      </c>
      <c r="BP25">
        <v>0</v>
      </c>
      <c r="BQ25">
        <v>0</v>
      </c>
      <c r="BR25">
        <v>3725</v>
      </c>
      <c r="BS25">
        <v>100</v>
      </c>
      <c r="BT25" t="s">
        <v>128</v>
      </c>
      <c r="BU25">
        <v>0</v>
      </c>
      <c r="BV25">
        <v>0</v>
      </c>
      <c r="BW25">
        <v>0</v>
      </c>
      <c r="BX25">
        <v>1</v>
      </c>
      <c r="CA25">
        <v>0</v>
      </c>
      <c r="CB25">
        <v>0</v>
      </c>
      <c r="CC25">
        <v>0</v>
      </c>
      <c r="CM25" t="str">
        <f>"17:40:23.181"</f>
        <v>17:40:23.181</v>
      </c>
      <c r="CN25">
        <v>180690128</v>
      </c>
      <c r="CQ25">
        <v>0</v>
      </c>
      <c r="CR25">
        <v>4000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2</v>
      </c>
      <c r="DC25">
        <v>0</v>
      </c>
      <c r="DD25">
        <v>2</v>
      </c>
      <c r="DE25">
        <v>0</v>
      </c>
      <c r="DF25">
        <v>7</v>
      </c>
      <c r="DG25">
        <v>7</v>
      </c>
      <c r="DH25" t="s">
        <v>124</v>
      </c>
      <c r="DI25">
        <v>71</v>
      </c>
      <c r="DJ25">
        <v>2</v>
      </c>
      <c r="DK25" t="s">
        <v>134</v>
      </c>
      <c r="DL25" t="s">
        <v>135</v>
      </c>
      <c r="DO25">
        <v>703088</v>
      </c>
      <c r="DQ25">
        <v>0</v>
      </c>
      <c r="DR25">
        <v>0</v>
      </c>
      <c r="DS25">
        <v>1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</row>
    <row r="26" spans="1:131" x14ac:dyDescent="0.35">
      <c r="A26" s="2" t="str">
        <f>"17:40:24.598"</f>
        <v>17:40:24.598</v>
      </c>
      <c r="B26" s="4">
        <f t="shared" si="9"/>
        <v>63624.597999999998</v>
      </c>
      <c r="C26" s="4">
        <f t="shared" si="3"/>
        <v>24.597999999998137</v>
      </c>
      <c r="D26" s="3">
        <f t="shared" si="4"/>
        <v>0.73639581018518518</v>
      </c>
      <c r="E26" s="2">
        <f t="shared" si="5"/>
        <v>0.73639581018518518</v>
      </c>
      <c r="G26" t="str">
        <f t="shared" si="0"/>
        <v>FFDFD7C0</v>
      </c>
      <c r="H26" t="s">
        <v>126</v>
      </c>
      <c r="I26">
        <v>8</v>
      </c>
      <c r="J26">
        <v>1008</v>
      </c>
      <c r="K26" t="s">
        <v>129</v>
      </c>
      <c r="N26" t="s">
        <v>127</v>
      </c>
      <c r="O26">
        <v>0</v>
      </c>
      <c r="P26">
        <v>3</v>
      </c>
      <c r="Q26">
        <v>0</v>
      </c>
      <c r="R26">
        <v>2</v>
      </c>
      <c r="S26">
        <v>1</v>
      </c>
      <c r="T26">
        <v>0</v>
      </c>
      <c r="U26">
        <v>0</v>
      </c>
      <c r="W26" t="str">
        <f>"17:40:24.320"</f>
        <v>17:40:24.320</v>
      </c>
      <c r="X26" t="str">
        <f>"17:40:24.020"</f>
        <v>17:40:24.020</v>
      </c>
      <c r="Y26" t="str">
        <f t="shared" si="1"/>
        <v>A7C771</v>
      </c>
      <c r="Z26">
        <v>0</v>
      </c>
      <c r="AA26">
        <v>0</v>
      </c>
      <c r="AB26">
        <v>2</v>
      </c>
      <c r="AC26">
        <v>0</v>
      </c>
      <c r="AE26">
        <v>0</v>
      </c>
      <c r="AF26">
        <v>8</v>
      </c>
      <c r="AG26">
        <v>3</v>
      </c>
      <c r="AH26">
        <v>0</v>
      </c>
      <c r="AI26">
        <v>9</v>
      </c>
      <c r="AJ26" t="s">
        <v>125</v>
      </c>
      <c r="AK26">
        <v>0</v>
      </c>
      <c r="AL26">
        <v>3</v>
      </c>
      <c r="AM26">
        <v>2</v>
      </c>
      <c r="AN26">
        <v>1</v>
      </c>
      <c r="AO26" t="s">
        <v>186</v>
      </c>
      <c r="AP26">
        <v>42.729177</v>
      </c>
      <c r="AQ26" t="s">
        <v>187</v>
      </c>
      <c r="AR26">
        <v>-77.729087000000007</v>
      </c>
      <c r="AS26">
        <v>25</v>
      </c>
      <c r="AT26">
        <v>3625</v>
      </c>
      <c r="AU26" t="s">
        <v>123</v>
      </c>
      <c r="AV26">
        <v>122</v>
      </c>
      <c r="AW26">
        <v>203</v>
      </c>
      <c r="AX26">
        <v>0</v>
      </c>
      <c r="AZ26">
        <f t="shared" si="6"/>
        <v>14884</v>
      </c>
      <c r="BA26">
        <f t="shared" si="7"/>
        <v>41209</v>
      </c>
      <c r="BB26" s="1">
        <f t="shared" si="8"/>
        <v>236.83960817397076</v>
      </c>
      <c r="BJ26">
        <v>1404</v>
      </c>
      <c r="BK26">
        <v>1</v>
      </c>
      <c r="BL26" t="str">
        <f t="shared" si="2"/>
        <v xml:space="preserve">N600C   </v>
      </c>
      <c r="BM26">
        <v>2</v>
      </c>
      <c r="BO26">
        <v>0</v>
      </c>
      <c r="BP26">
        <v>0</v>
      </c>
      <c r="BQ26">
        <v>0</v>
      </c>
      <c r="BR26">
        <v>3725</v>
      </c>
      <c r="BS26">
        <v>100</v>
      </c>
      <c r="BT26" t="s">
        <v>128</v>
      </c>
      <c r="BU26">
        <v>0</v>
      </c>
      <c r="BV26">
        <v>0</v>
      </c>
      <c r="BW26">
        <v>0</v>
      </c>
      <c r="BX26">
        <v>1</v>
      </c>
      <c r="CA26">
        <v>0</v>
      </c>
      <c r="CB26">
        <v>0</v>
      </c>
      <c r="CC26">
        <v>0</v>
      </c>
      <c r="CM26" t="str">
        <f>"17:40:24.325"</f>
        <v>17:40:24.325</v>
      </c>
      <c r="CN26">
        <v>324892192</v>
      </c>
      <c r="CQ26">
        <v>0</v>
      </c>
      <c r="CR26">
        <v>4000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2</v>
      </c>
      <c r="DC26">
        <v>0</v>
      </c>
      <c r="DD26">
        <v>2</v>
      </c>
      <c r="DE26">
        <v>0</v>
      </c>
      <c r="DF26">
        <v>7</v>
      </c>
      <c r="DG26">
        <v>7</v>
      </c>
      <c r="DH26" t="s">
        <v>124</v>
      </c>
      <c r="DI26">
        <v>71</v>
      </c>
      <c r="DJ26">
        <v>2</v>
      </c>
      <c r="DK26" t="s">
        <v>134</v>
      </c>
      <c r="DL26" t="s">
        <v>135</v>
      </c>
      <c r="DO26">
        <v>704040</v>
      </c>
      <c r="DQ26">
        <v>0</v>
      </c>
      <c r="DR26">
        <v>0</v>
      </c>
      <c r="DS26">
        <v>1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</row>
    <row r="27" spans="1:131" x14ac:dyDescent="0.35">
      <c r="A27" s="2" t="str">
        <f>"17:40:25.473"</f>
        <v>17:40:25.473</v>
      </c>
      <c r="B27" s="4">
        <f t="shared" si="9"/>
        <v>63625.472999999998</v>
      </c>
      <c r="C27" s="4">
        <f t="shared" si="3"/>
        <v>25.472999999998137</v>
      </c>
      <c r="D27" s="3">
        <f t="shared" si="4"/>
        <v>0.73640593749999994</v>
      </c>
      <c r="E27" s="2">
        <f t="shared" si="5"/>
        <v>0.73640593749999994</v>
      </c>
      <c r="G27" t="str">
        <f t="shared" si="0"/>
        <v>FFDFD7C0</v>
      </c>
      <c r="H27" t="s">
        <v>126</v>
      </c>
      <c r="I27">
        <v>8</v>
      </c>
      <c r="J27">
        <v>1008</v>
      </c>
      <c r="K27" t="s">
        <v>129</v>
      </c>
      <c r="N27" t="s">
        <v>127</v>
      </c>
      <c r="O27">
        <v>0</v>
      </c>
      <c r="P27">
        <v>3</v>
      </c>
      <c r="Q27">
        <v>0</v>
      </c>
      <c r="R27">
        <v>2</v>
      </c>
      <c r="S27">
        <v>1</v>
      </c>
      <c r="T27">
        <v>0</v>
      </c>
      <c r="U27">
        <v>0</v>
      </c>
      <c r="W27" t="str">
        <f>"17:40:25.273"</f>
        <v>17:40:25.273</v>
      </c>
      <c r="X27" t="str">
        <f>"17:40:24.973"</f>
        <v>17:40:24.973</v>
      </c>
      <c r="Y27" t="str">
        <f t="shared" si="1"/>
        <v>A7C771</v>
      </c>
      <c r="Z27">
        <v>0</v>
      </c>
      <c r="AA27">
        <v>0</v>
      </c>
      <c r="AB27">
        <v>2</v>
      </c>
      <c r="AC27">
        <v>0</v>
      </c>
      <c r="AE27">
        <v>0</v>
      </c>
      <c r="AF27">
        <v>8</v>
      </c>
      <c r="AG27">
        <v>3</v>
      </c>
      <c r="AH27">
        <v>0</v>
      </c>
      <c r="AI27">
        <v>9</v>
      </c>
      <c r="AJ27" t="s">
        <v>125</v>
      </c>
      <c r="AK27">
        <v>0</v>
      </c>
      <c r="AL27">
        <v>3</v>
      </c>
      <c r="AM27">
        <v>2</v>
      </c>
      <c r="AN27">
        <v>1</v>
      </c>
      <c r="AO27" t="s">
        <v>188</v>
      </c>
      <c r="AP27">
        <v>42.730079000000003</v>
      </c>
      <c r="AQ27" t="s">
        <v>189</v>
      </c>
      <c r="AR27">
        <v>-77.728335999999999</v>
      </c>
      <c r="AS27">
        <v>25</v>
      </c>
      <c r="AT27">
        <v>3625</v>
      </c>
      <c r="AU27" t="s">
        <v>123</v>
      </c>
      <c r="AV27">
        <v>121</v>
      </c>
      <c r="AW27">
        <v>202</v>
      </c>
      <c r="AX27">
        <v>64</v>
      </c>
      <c r="AZ27">
        <f t="shared" si="6"/>
        <v>14641</v>
      </c>
      <c r="BA27">
        <f t="shared" si="7"/>
        <v>40804</v>
      </c>
      <c r="BB27" s="1">
        <f t="shared" si="8"/>
        <v>235.46761985462035</v>
      </c>
      <c r="BJ27">
        <v>1404</v>
      </c>
      <c r="BK27">
        <v>1</v>
      </c>
      <c r="BL27" t="str">
        <f t="shared" si="2"/>
        <v xml:space="preserve">N600C   </v>
      </c>
      <c r="BM27">
        <v>2</v>
      </c>
      <c r="BO27">
        <v>0</v>
      </c>
      <c r="BP27">
        <v>0</v>
      </c>
      <c r="BQ27">
        <v>0</v>
      </c>
      <c r="BR27">
        <v>3725</v>
      </c>
      <c r="BS27">
        <v>100</v>
      </c>
      <c r="BT27" t="s">
        <v>128</v>
      </c>
      <c r="BU27">
        <v>0</v>
      </c>
      <c r="BV27">
        <v>0</v>
      </c>
      <c r="BW27">
        <v>0</v>
      </c>
      <c r="BX27">
        <v>1</v>
      </c>
      <c r="CA27">
        <v>0</v>
      </c>
      <c r="CB27">
        <v>0</v>
      </c>
      <c r="CC27">
        <v>0</v>
      </c>
      <c r="CM27" t="str">
        <f>"17:40:25.277"</f>
        <v>17:40:25.277</v>
      </c>
      <c r="CN27">
        <v>277067606</v>
      </c>
      <c r="CQ27">
        <v>0</v>
      </c>
      <c r="CR27">
        <v>4000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2</v>
      </c>
      <c r="DC27">
        <v>0</v>
      </c>
      <c r="DD27">
        <v>2</v>
      </c>
      <c r="DE27">
        <v>0</v>
      </c>
      <c r="DF27">
        <v>7</v>
      </c>
      <c r="DG27">
        <v>7</v>
      </c>
      <c r="DH27" t="s">
        <v>124</v>
      </c>
      <c r="DI27">
        <v>71</v>
      </c>
      <c r="DJ27">
        <v>2</v>
      </c>
      <c r="DK27" t="s">
        <v>134</v>
      </c>
      <c r="DL27" t="s">
        <v>135</v>
      </c>
      <c r="DO27">
        <v>704896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</row>
    <row r="28" spans="1:131" x14ac:dyDescent="0.35">
      <c r="A28" s="2" t="str">
        <f>"17:40:26.426"</f>
        <v>17:40:26.426</v>
      </c>
      <c r="B28" s="4">
        <f t="shared" si="9"/>
        <v>63626.425999999999</v>
      </c>
      <c r="C28" s="4">
        <f t="shared" si="3"/>
        <v>26.425999999999476</v>
      </c>
      <c r="D28" s="3">
        <f t="shared" si="4"/>
        <v>0.73641696759259256</v>
      </c>
      <c r="E28" s="2">
        <f t="shared" si="5"/>
        <v>0.73641696759259256</v>
      </c>
      <c r="G28" t="str">
        <f t="shared" si="0"/>
        <v>FFDFD7C0</v>
      </c>
      <c r="H28" t="s">
        <v>126</v>
      </c>
      <c r="I28">
        <v>8</v>
      </c>
      <c r="J28">
        <v>1008</v>
      </c>
      <c r="K28" t="s">
        <v>129</v>
      </c>
      <c r="N28" t="s">
        <v>127</v>
      </c>
      <c r="O28">
        <v>0</v>
      </c>
      <c r="P28">
        <v>3</v>
      </c>
      <c r="Q28">
        <v>0</v>
      </c>
      <c r="R28">
        <v>2</v>
      </c>
      <c r="S28">
        <v>1</v>
      </c>
      <c r="T28">
        <v>0</v>
      </c>
      <c r="U28">
        <v>0</v>
      </c>
      <c r="W28" t="str">
        <f>"17:40:26.172"</f>
        <v>17:40:26.172</v>
      </c>
      <c r="X28" t="str">
        <f>"17:40:25.972"</f>
        <v>17:40:25.972</v>
      </c>
      <c r="Y28" t="str">
        <f t="shared" si="1"/>
        <v>A7C771</v>
      </c>
      <c r="Z28">
        <v>0</v>
      </c>
      <c r="AA28">
        <v>0</v>
      </c>
      <c r="AB28">
        <v>2</v>
      </c>
      <c r="AC28">
        <v>0</v>
      </c>
      <c r="AE28">
        <v>0</v>
      </c>
      <c r="AF28">
        <v>8</v>
      </c>
      <c r="AG28">
        <v>3</v>
      </c>
      <c r="AH28">
        <v>0</v>
      </c>
      <c r="AI28">
        <v>9</v>
      </c>
      <c r="AJ28" t="s">
        <v>125</v>
      </c>
      <c r="AK28">
        <v>0</v>
      </c>
      <c r="AL28">
        <v>3</v>
      </c>
      <c r="AM28">
        <v>2</v>
      </c>
      <c r="AN28">
        <v>1</v>
      </c>
      <c r="AO28" t="s">
        <v>190</v>
      </c>
      <c r="AP28">
        <v>42.730893999999999</v>
      </c>
      <c r="AQ28" t="s">
        <v>191</v>
      </c>
      <c r="AR28">
        <v>-77.727627999999996</v>
      </c>
      <c r="AS28">
        <v>25</v>
      </c>
      <c r="AT28">
        <v>3625</v>
      </c>
      <c r="AU28" t="s">
        <v>123</v>
      </c>
      <c r="AV28">
        <v>120</v>
      </c>
      <c r="AW28">
        <v>201</v>
      </c>
      <c r="AX28">
        <v>64</v>
      </c>
      <c r="AZ28">
        <f t="shared" si="6"/>
        <v>14400</v>
      </c>
      <c r="BA28">
        <f t="shared" si="7"/>
        <v>40401</v>
      </c>
      <c r="BB28" s="1">
        <f t="shared" si="8"/>
        <v>234.09613409879285</v>
      </c>
      <c r="BJ28">
        <v>1404</v>
      </c>
      <c r="BK28">
        <v>1</v>
      </c>
      <c r="BL28" t="str">
        <f t="shared" si="2"/>
        <v xml:space="preserve">N600C   </v>
      </c>
      <c r="BM28">
        <v>2</v>
      </c>
      <c r="BO28">
        <v>0</v>
      </c>
      <c r="BP28">
        <v>0</v>
      </c>
      <c r="BQ28">
        <v>0</v>
      </c>
      <c r="BR28">
        <v>3725</v>
      </c>
      <c r="BS28">
        <v>100</v>
      </c>
      <c r="BT28" t="s">
        <v>128</v>
      </c>
      <c r="BU28">
        <v>0</v>
      </c>
      <c r="BV28">
        <v>0</v>
      </c>
      <c r="BW28">
        <v>0</v>
      </c>
      <c r="BX28">
        <v>1</v>
      </c>
      <c r="CA28">
        <v>0</v>
      </c>
      <c r="CB28">
        <v>0</v>
      </c>
      <c r="CC28">
        <v>0</v>
      </c>
      <c r="CM28" t="str">
        <f>"17:40:26.173"</f>
        <v>17:40:26.173</v>
      </c>
      <c r="CN28">
        <v>173227970</v>
      </c>
      <c r="CQ28">
        <v>0</v>
      </c>
      <c r="CR28">
        <v>4000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2</v>
      </c>
      <c r="DC28">
        <v>0</v>
      </c>
      <c r="DD28">
        <v>2</v>
      </c>
      <c r="DE28">
        <v>0</v>
      </c>
      <c r="DF28">
        <v>7</v>
      </c>
      <c r="DG28">
        <v>7</v>
      </c>
      <c r="DH28" t="s">
        <v>124</v>
      </c>
      <c r="DI28">
        <v>71</v>
      </c>
      <c r="DJ28">
        <v>2</v>
      </c>
      <c r="DK28" t="s">
        <v>134</v>
      </c>
      <c r="DL28" t="s">
        <v>135</v>
      </c>
      <c r="DO28">
        <v>705755</v>
      </c>
      <c r="DQ28">
        <v>0</v>
      </c>
      <c r="DR28">
        <v>0</v>
      </c>
      <c r="DS28">
        <v>1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</row>
    <row r="29" spans="1:131" x14ac:dyDescent="0.35">
      <c r="A29" s="2" t="str">
        <f>"17:40:27.551"</f>
        <v>17:40:27.551</v>
      </c>
      <c r="B29" s="4">
        <f t="shared" si="9"/>
        <v>63627.550999999999</v>
      </c>
      <c r="C29" s="4">
        <f t="shared" si="3"/>
        <v>27.550999999999476</v>
      </c>
      <c r="D29" s="3">
        <f t="shared" si="4"/>
        <v>0.73642998842592589</v>
      </c>
      <c r="E29" s="2">
        <f t="shared" si="5"/>
        <v>0.73642998842592589</v>
      </c>
      <c r="G29" t="str">
        <f t="shared" si="0"/>
        <v>FFDFD7C0</v>
      </c>
      <c r="H29" t="s">
        <v>126</v>
      </c>
      <c r="I29">
        <v>8</v>
      </c>
      <c r="J29">
        <v>1008</v>
      </c>
      <c r="K29" t="s">
        <v>129</v>
      </c>
      <c r="N29" t="s">
        <v>127</v>
      </c>
      <c r="O29">
        <v>0</v>
      </c>
      <c r="P29">
        <v>3</v>
      </c>
      <c r="Q29">
        <v>0</v>
      </c>
      <c r="R29">
        <v>2</v>
      </c>
      <c r="S29">
        <v>1</v>
      </c>
      <c r="T29">
        <v>0</v>
      </c>
      <c r="U29">
        <v>0</v>
      </c>
      <c r="W29" t="str">
        <f>"17:40:27.266"</f>
        <v>17:40:27.266</v>
      </c>
      <c r="X29" t="str">
        <f>"17:40:26.966"</f>
        <v>17:40:26.966</v>
      </c>
      <c r="Y29" t="str">
        <f t="shared" si="1"/>
        <v>A7C771</v>
      </c>
      <c r="Z29">
        <v>0</v>
      </c>
      <c r="AA29">
        <v>0</v>
      </c>
      <c r="AB29">
        <v>2</v>
      </c>
      <c r="AC29">
        <v>0</v>
      </c>
      <c r="AE29">
        <v>0</v>
      </c>
      <c r="AF29">
        <v>8</v>
      </c>
      <c r="AG29">
        <v>3</v>
      </c>
      <c r="AH29">
        <v>0</v>
      </c>
      <c r="AI29">
        <v>9</v>
      </c>
      <c r="AJ29" t="s">
        <v>125</v>
      </c>
      <c r="AK29">
        <v>0</v>
      </c>
      <c r="AL29">
        <v>3</v>
      </c>
      <c r="AM29">
        <v>2</v>
      </c>
      <c r="AN29">
        <v>1</v>
      </c>
      <c r="AO29" t="s">
        <v>192</v>
      </c>
      <c r="AP29">
        <v>42.731838000000003</v>
      </c>
      <c r="AQ29" t="s">
        <v>193</v>
      </c>
      <c r="AR29">
        <v>-77.726920000000007</v>
      </c>
      <c r="AS29">
        <v>25</v>
      </c>
      <c r="AT29">
        <v>3625</v>
      </c>
      <c r="AU29" t="s">
        <v>123</v>
      </c>
      <c r="AV29">
        <v>119</v>
      </c>
      <c r="AW29">
        <v>199</v>
      </c>
      <c r="AX29">
        <v>64</v>
      </c>
      <c r="AZ29">
        <f t="shared" si="6"/>
        <v>14161</v>
      </c>
      <c r="BA29">
        <f t="shared" si="7"/>
        <v>39601</v>
      </c>
      <c r="BB29" s="1">
        <f t="shared" si="8"/>
        <v>231.86634080866503</v>
      </c>
      <c r="BJ29">
        <v>1404</v>
      </c>
      <c r="BK29">
        <v>1</v>
      </c>
      <c r="BL29" t="str">
        <f t="shared" si="2"/>
        <v xml:space="preserve">N600C   </v>
      </c>
      <c r="BM29">
        <v>2</v>
      </c>
      <c r="BO29">
        <v>0</v>
      </c>
      <c r="BP29">
        <v>0</v>
      </c>
      <c r="BQ29">
        <v>0</v>
      </c>
      <c r="BR29">
        <v>3725</v>
      </c>
      <c r="BS29">
        <v>100</v>
      </c>
      <c r="BT29" t="s">
        <v>128</v>
      </c>
      <c r="BU29">
        <v>0</v>
      </c>
      <c r="BV29">
        <v>0</v>
      </c>
      <c r="BW29">
        <v>0</v>
      </c>
      <c r="BX29">
        <v>1</v>
      </c>
      <c r="CA29">
        <v>0</v>
      </c>
      <c r="CB29">
        <v>0</v>
      </c>
      <c r="CC29">
        <v>0</v>
      </c>
      <c r="CM29" t="str">
        <f>"17:40:27.269"</f>
        <v>17:40:27.269</v>
      </c>
      <c r="CN29">
        <v>269435308</v>
      </c>
      <c r="CQ29">
        <v>0</v>
      </c>
      <c r="CR29">
        <v>4000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2</v>
      </c>
      <c r="DC29">
        <v>0</v>
      </c>
      <c r="DD29">
        <v>2</v>
      </c>
      <c r="DE29">
        <v>0</v>
      </c>
      <c r="DF29">
        <v>7</v>
      </c>
      <c r="DG29">
        <v>7</v>
      </c>
      <c r="DH29" t="s">
        <v>124</v>
      </c>
      <c r="DI29">
        <v>71</v>
      </c>
      <c r="DJ29">
        <v>1</v>
      </c>
      <c r="DK29" t="s">
        <v>134</v>
      </c>
      <c r="DL29" t="s">
        <v>135</v>
      </c>
      <c r="DO29">
        <v>11221897</v>
      </c>
      <c r="DQ29">
        <v>0</v>
      </c>
      <c r="DR29">
        <v>0</v>
      </c>
      <c r="DS29">
        <v>1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</row>
    <row r="30" spans="1:131" x14ac:dyDescent="0.35">
      <c r="A30" s="2" t="str">
        <f>"17:40:28.521"</f>
        <v>17:40:28.521</v>
      </c>
      <c r="B30" s="4">
        <f t="shared" si="9"/>
        <v>63628.521000000008</v>
      </c>
      <c r="C30" s="4">
        <f t="shared" si="3"/>
        <v>28.521000000007916</v>
      </c>
      <c r="D30" s="3">
        <f t="shared" si="4"/>
        <v>0.73644121527777784</v>
      </c>
      <c r="E30" s="2">
        <f t="shared" si="5"/>
        <v>0.73644121527777784</v>
      </c>
      <c r="G30" t="str">
        <f t="shared" si="0"/>
        <v>FFDFD7C0</v>
      </c>
      <c r="H30" t="s">
        <v>126</v>
      </c>
      <c r="I30">
        <v>8</v>
      </c>
      <c r="J30">
        <v>1008</v>
      </c>
      <c r="K30" t="s">
        <v>129</v>
      </c>
      <c r="N30" t="s">
        <v>127</v>
      </c>
      <c r="O30">
        <v>0</v>
      </c>
      <c r="P30">
        <v>3</v>
      </c>
      <c r="Q30">
        <v>0</v>
      </c>
      <c r="R30">
        <v>2</v>
      </c>
      <c r="S30">
        <v>1</v>
      </c>
      <c r="T30">
        <v>0</v>
      </c>
      <c r="U30">
        <v>0</v>
      </c>
      <c r="W30" t="str">
        <f>"17:40:28.203"</f>
        <v>17:40:28.203</v>
      </c>
      <c r="X30" t="str">
        <f>"17:40:28.103"</f>
        <v>17:40:28.103</v>
      </c>
      <c r="Y30" t="str">
        <f t="shared" si="1"/>
        <v>A7C771</v>
      </c>
      <c r="Z30">
        <v>0</v>
      </c>
      <c r="AA30">
        <v>0</v>
      </c>
      <c r="AB30">
        <v>2</v>
      </c>
      <c r="AC30">
        <v>0</v>
      </c>
      <c r="AE30">
        <v>0</v>
      </c>
      <c r="AF30">
        <v>8</v>
      </c>
      <c r="AG30">
        <v>3</v>
      </c>
      <c r="AH30">
        <v>0</v>
      </c>
      <c r="AI30">
        <v>9</v>
      </c>
      <c r="AJ30" t="s">
        <v>125</v>
      </c>
      <c r="AK30">
        <v>0</v>
      </c>
      <c r="AL30">
        <v>3</v>
      </c>
      <c r="AM30">
        <v>2</v>
      </c>
      <c r="AN30">
        <v>1</v>
      </c>
      <c r="AO30" t="s">
        <v>194</v>
      </c>
      <c r="AP30">
        <v>42.732761000000004</v>
      </c>
      <c r="AQ30" t="s">
        <v>195</v>
      </c>
      <c r="AR30">
        <v>-77.726168999999999</v>
      </c>
      <c r="AS30">
        <v>25</v>
      </c>
      <c r="AT30">
        <v>3625</v>
      </c>
      <c r="AU30" t="s">
        <v>123</v>
      </c>
      <c r="AV30">
        <v>118</v>
      </c>
      <c r="AW30">
        <v>199</v>
      </c>
      <c r="AX30">
        <v>0</v>
      </c>
      <c r="AZ30">
        <f t="shared" si="6"/>
        <v>13924</v>
      </c>
      <c r="BA30">
        <f t="shared" si="7"/>
        <v>39601</v>
      </c>
      <c r="BB30" s="1">
        <f t="shared" si="8"/>
        <v>231.35470602518549</v>
      </c>
      <c r="BJ30">
        <v>1404</v>
      </c>
      <c r="BK30">
        <v>1</v>
      </c>
      <c r="BL30" t="str">
        <f t="shared" si="2"/>
        <v xml:space="preserve">N600C   </v>
      </c>
      <c r="BM30">
        <v>2</v>
      </c>
      <c r="BO30">
        <v>0</v>
      </c>
      <c r="BP30">
        <v>0</v>
      </c>
      <c r="BQ30">
        <v>0</v>
      </c>
      <c r="BR30">
        <v>3725</v>
      </c>
      <c r="BS30">
        <v>100</v>
      </c>
      <c r="BT30" t="s">
        <v>128</v>
      </c>
      <c r="BU30">
        <v>0</v>
      </c>
      <c r="BV30">
        <v>0</v>
      </c>
      <c r="BW30">
        <v>0</v>
      </c>
      <c r="BX30">
        <v>1</v>
      </c>
      <c r="CA30">
        <v>0</v>
      </c>
      <c r="CB30">
        <v>0</v>
      </c>
      <c r="CC30">
        <v>0</v>
      </c>
      <c r="CM30" t="str">
        <f>"17:40:28.206"</f>
        <v>17:40:28.206</v>
      </c>
      <c r="CN30">
        <v>205598683</v>
      </c>
      <c r="CQ30">
        <v>0</v>
      </c>
      <c r="CR30">
        <v>4000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2</v>
      </c>
      <c r="DC30">
        <v>0</v>
      </c>
      <c r="DD30">
        <v>2</v>
      </c>
      <c r="DE30">
        <v>0</v>
      </c>
      <c r="DF30">
        <v>7</v>
      </c>
      <c r="DG30">
        <v>7</v>
      </c>
      <c r="DH30" t="s">
        <v>124</v>
      </c>
      <c r="DI30">
        <v>71</v>
      </c>
      <c r="DJ30">
        <v>2</v>
      </c>
      <c r="DK30" t="s">
        <v>134</v>
      </c>
      <c r="DL30" t="s">
        <v>135</v>
      </c>
      <c r="DO30">
        <v>707666</v>
      </c>
      <c r="DQ30">
        <v>0</v>
      </c>
      <c r="DR30">
        <v>0</v>
      </c>
      <c r="DS30">
        <v>1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</row>
    <row r="31" spans="1:131" x14ac:dyDescent="0.35">
      <c r="A31" s="2" t="str">
        <f>"17:40:29.691"</f>
        <v>17:40:29.691</v>
      </c>
      <c r="B31" s="4">
        <f t="shared" si="9"/>
        <v>63629.690999999999</v>
      </c>
      <c r="C31" s="4">
        <f t="shared" si="3"/>
        <v>29.690999999998894</v>
      </c>
      <c r="D31" s="3">
        <f t="shared" si="4"/>
        <v>0.7364547569444444</v>
      </c>
      <c r="E31" s="2">
        <f t="shared" si="5"/>
        <v>0.7364547569444444</v>
      </c>
      <c r="G31" t="str">
        <f t="shared" si="0"/>
        <v>FFDFD7C0</v>
      </c>
      <c r="H31" t="s">
        <v>126</v>
      </c>
      <c r="I31">
        <v>8</v>
      </c>
      <c r="J31">
        <v>1008</v>
      </c>
      <c r="K31" t="s">
        <v>129</v>
      </c>
      <c r="N31" t="s">
        <v>127</v>
      </c>
      <c r="O31">
        <v>0</v>
      </c>
      <c r="P31">
        <v>3</v>
      </c>
      <c r="Q31">
        <v>0</v>
      </c>
      <c r="R31">
        <v>2</v>
      </c>
      <c r="S31">
        <v>1</v>
      </c>
      <c r="T31">
        <v>0</v>
      </c>
      <c r="U31">
        <v>0</v>
      </c>
      <c r="W31" t="str">
        <f>"17:40:29.391"</f>
        <v>17:40:29.391</v>
      </c>
      <c r="X31" t="str">
        <f>"17:40:28.991"</f>
        <v>17:40:28.991</v>
      </c>
      <c r="Y31" t="str">
        <f t="shared" si="1"/>
        <v>A7C771</v>
      </c>
      <c r="Z31">
        <v>0</v>
      </c>
      <c r="AA31">
        <v>0</v>
      </c>
      <c r="AB31">
        <v>2</v>
      </c>
      <c r="AC31">
        <v>0</v>
      </c>
      <c r="AE31">
        <v>0</v>
      </c>
      <c r="AF31">
        <v>8</v>
      </c>
      <c r="AG31">
        <v>3</v>
      </c>
      <c r="AH31">
        <v>0</v>
      </c>
      <c r="AI31">
        <v>9</v>
      </c>
      <c r="AJ31" t="s">
        <v>125</v>
      </c>
      <c r="AK31">
        <v>0</v>
      </c>
      <c r="AL31">
        <v>3</v>
      </c>
      <c r="AM31">
        <v>2</v>
      </c>
      <c r="AN31">
        <v>1</v>
      </c>
      <c r="AO31" t="s">
        <v>196</v>
      </c>
      <c r="AP31">
        <v>42.733834000000002</v>
      </c>
      <c r="AQ31" t="s">
        <v>197</v>
      </c>
      <c r="AR31">
        <v>-77.725267000000002</v>
      </c>
      <c r="AS31">
        <v>25</v>
      </c>
      <c r="AT31">
        <v>3625</v>
      </c>
      <c r="AU31" t="s">
        <v>123</v>
      </c>
      <c r="AV31">
        <v>118</v>
      </c>
      <c r="AW31">
        <v>198</v>
      </c>
      <c r="AX31">
        <v>0</v>
      </c>
      <c r="AZ31">
        <f t="shared" si="6"/>
        <v>13924</v>
      </c>
      <c r="BA31">
        <f t="shared" si="7"/>
        <v>39204</v>
      </c>
      <c r="BB31" s="1">
        <f t="shared" si="8"/>
        <v>230.4951192541829</v>
      </c>
      <c r="BJ31">
        <v>1404</v>
      </c>
      <c r="BK31">
        <v>1</v>
      </c>
      <c r="BL31" t="str">
        <f t="shared" si="2"/>
        <v xml:space="preserve">N600C   </v>
      </c>
      <c r="BM31">
        <v>2</v>
      </c>
      <c r="BO31">
        <v>0</v>
      </c>
      <c r="BP31">
        <v>0</v>
      </c>
      <c r="BQ31">
        <v>0</v>
      </c>
      <c r="BR31">
        <v>3725</v>
      </c>
      <c r="BS31">
        <v>100</v>
      </c>
      <c r="BT31" t="s">
        <v>128</v>
      </c>
      <c r="BU31">
        <v>0</v>
      </c>
      <c r="BV31">
        <v>0</v>
      </c>
      <c r="BW31">
        <v>0</v>
      </c>
      <c r="BX31">
        <v>1</v>
      </c>
      <c r="CA31">
        <v>0</v>
      </c>
      <c r="CB31">
        <v>0</v>
      </c>
      <c r="CC31">
        <v>0</v>
      </c>
      <c r="CM31" t="str">
        <f>"17:40:29.398"</f>
        <v>17:40:29.398</v>
      </c>
      <c r="CN31">
        <v>397802390</v>
      </c>
      <c r="CQ31">
        <v>0</v>
      </c>
      <c r="CR31">
        <v>4000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2</v>
      </c>
      <c r="DC31">
        <v>0</v>
      </c>
      <c r="DD31">
        <v>2</v>
      </c>
      <c r="DE31">
        <v>0</v>
      </c>
      <c r="DF31">
        <v>7</v>
      </c>
      <c r="DG31">
        <v>7</v>
      </c>
      <c r="DH31" t="s">
        <v>124</v>
      </c>
      <c r="DI31">
        <v>71</v>
      </c>
      <c r="DJ31">
        <v>2</v>
      </c>
      <c r="DK31" t="s">
        <v>134</v>
      </c>
      <c r="DL31" t="s">
        <v>135</v>
      </c>
      <c r="DO31">
        <v>708682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</row>
    <row r="32" spans="1:131" x14ac:dyDescent="0.35">
      <c r="A32" s="2" t="str">
        <f>"17:40:30.738"</f>
        <v>17:40:30.738</v>
      </c>
      <c r="B32" s="4">
        <f t="shared" si="9"/>
        <v>63630.737999999998</v>
      </c>
      <c r="C32" s="4">
        <f t="shared" si="3"/>
        <v>30.737999999997555</v>
      </c>
      <c r="D32" s="3">
        <f t="shared" si="4"/>
        <v>0.73646687499999997</v>
      </c>
      <c r="E32" s="2">
        <f t="shared" si="5"/>
        <v>0.73646687499999997</v>
      </c>
      <c r="G32" t="str">
        <f t="shared" si="0"/>
        <v>FFDFD7C0</v>
      </c>
      <c r="H32" t="s">
        <v>126</v>
      </c>
      <c r="I32">
        <v>8</v>
      </c>
      <c r="J32">
        <v>1008</v>
      </c>
      <c r="K32" t="s">
        <v>129</v>
      </c>
      <c r="N32" t="s">
        <v>127</v>
      </c>
      <c r="O32">
        <v>0</v>
      </c>
      <c r="P32">
        <v>3</v>
      </c>
      <c r="Q32">
        <v>0</v>
      </c>
      <c r="R32">
        <v>2</v>
      </c>
      <c r="S32">
        <v>1</v>
      </c>
      <c r="T32">
        <v>0</v>
      </c>
      <c r="U32">
        <v>0</v>
      </c>
      <c r="W32" t="str">
        <f>"17:40:30.422"</f>
        <v>17:40:30.422</v>
      </c>
      <c r="X32" t="str">
        <f>"17:40:30.022"</f>
        <v>17:40:30.022</v>
      </c>
      <c r="Y32" t="str">
        <f t="shared" si="1"/>
        <v>A7C771</v>
      </c>
      <c r="Z32">
        <v>0</v>
      </c>
      <c r="AA32">
        <v>0</v>
      </c>
      <c r="AB32">
        <v>2</v>
      </c>
      <c r="AC32">
        <v>0</v>
      </c>
      <c r="AE32">
        <v>0</v>
      </c>
      <c r="AF32">
        <v>8</v>
      </c>
      <c r="AG32">
        <v>3</v>
      </c>
      <c r="AH32">
        <v>0</v>
      </c>
      <c r="AI32">
        <v>9</v>
      </c>
      <c r="AJ32" t="s">
        <v>125</v>
      </c>
      <c r="AK32">
        <v>0</v>
      </c>
      <c r="AL32">
        <v>3</v>
      </c>
      <c r="AM32">
        <v>2</v>
      </c>
      <c r="AN32">
        <v>1</v>
      </c>
      <c r="AO32" t="s">
        <v>198</v>
      </c>
      <c r="AP32">
        <v>42.734713999999997</v>
      </c>
      <c r="AQ32" t="s">
        <v>199</v>
      </c>
      <c r="AR32">
        <v>-77.724558999999999</v>
      </c>
      <c r="AS32">
        <v>25</v>
      </c>
      <c r="AT32">
        <v>3625</v>
      </c>
      <c r="AU32" t="s">
        <v>123</v>
      </c>
      <c r="AV32">
        <v>117</v>
      </c>
      <c r="AW32">
        <v>197</v>
      </c>
      <c r="AX32">
        <v>0</v>
      </c>
      <c r="AZ32">
        <f t="shared" si="6"/>
        <v>13689</v>
      </c>
      <c r="BA32">
        <f t="shared" si="7"/>
        <v>38809</v>
      </c>
      <c r="BB32" s="1">
        <f t="shared" si="8"/>
        <v>229.12442034842118</v>
      </c>
      <c r="BJ32">
        <v>1404</v>
      </c>
      <c r="BK32">
        <v>1</v>
      </c>
      <c r="BL32" t="str">
        <f t="shared" si="2"/>
        <v xml:space="preserve">N600C   </v>
      </c>
      <c r="BM32">
        <v>2</v>
      </c>
      <c r="BO32">
        <v>0</v>
      </c>
      <c r="BP32">
        <v>0</v>
      </c>
      <c r="BQ32">
        <v>0</v>
      </c>
      <c r="BR32">
        <v>3725</v>
      </c>
      <c r="BS32">
        <v>100</v>
      </c>
      <c r="BT32" t="s">
        <v>128</v>
      </c>
      <c r="BU32">
        <v>0</v>
      </c>
      <c r="BV32">
        <v>0</v>
      </c>
      <c r="BW32">
        <v>0</v>
      </c>
      <c r="BX32">
        <v>1</v>
      </c>
      <c r="CA32">
        <v>0</v>
      </c>
      <c r="CB32">
        <v>0</v>
      </c>
      <c r="CC32">
        <v>0</v>
      </c>
      <c r="CM32" t="str">
        <f>"17:40:30.422"</f>
        <v>17:40:30.422</v>
      </c>
      <c r="CN32">
        <v>421994543</v>
      </c>
      <c r="CQ32">
        <v>0</v>
      </c>
      <c r="CR32">
        <v>4000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2</v>
      </c>
      <c r="DC32">
        <v>0</v>
      </c>
      <c r="DD32">
        <v>2</v>
      </c>
      <c r="DE32">
        <v>0</v>
      </c>
      <c r="DF32">
        <v>7</v>
      </c>
      <c r="DG32">
        <v>7</v>
      </c>
      <c r="DH32" t="s">
        <v>124</v>
      </c>
      <c r="DI32">
        <v>71</v>
      </c>
      <c r="DJ32">
        <v>2</v>
      </c>
      <c r="DK32" t="s">
        <v>134</v>
      </c>
      <c r="DL32" t="s">
        <v>135</v>
      </c>
      <c r="DO32">
        <v>709582</v>
      </c>
      <c r="DQ32">
        <v>0</v>
      </c>
      <c r="DR32">
        <v>0</v>
      </c>
      <c r="DS32">
        <v>1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</row>
    <row r="33" spans="1:131" x14ac:dyDescent="0.35">
      <c r="A33" s="2" t="str">
        <f>"17:40:31.754"</f>
        <v>17:40:31.754</v>
      </c>
      <c r="B33" s="4">
        <f t="shared" si="9"/>
        <v>63631.754000000001</v>
      </c>
      <c r="C33" s="4">
        <f t="shared" si="3"/>
        <v>31.754000000000815</v>
      </c>
      <c r="D33" s="3">
        <f t="shared" si="4"/>
        <v>0.7364786342592593</v>
      </c>
      <c r="E33" s="2">
        <f t="shared" si="5"/>
        <v>0.7364786342592593</v>
      </c>
      <c r="G33" t="str">
        <f t="shared" si="0"/>
        <v>FFDFD7C0</v>
      </c>
      <c r="H33" t="s">
        <v>126</v>
      </c>
      <c r="I33">
        <v>8</v>
      </c>
      <c r="J33">
        <v>1008</v>
      </c>
      <c r="K33" t="s">
        <v>129</v>
      </c>
      <c r="N33" t="s">
        <v>127</v>
      </c>
      <c r="O33">
        <v>0</v>
      </c>
      <c r="P33">
        <v>3</v>
      </c>
      <c r="Q33">
        <v>0</v>
      </c>
      <c r="R33">
        <v>2</v>
      </c>
      <c r="S33">
        <v>1</v>
      </c>
      <c r="T33">
        <v>0</v>
      </c>
      <c r="U33">
        <v>0</v>
      </c>
      <c r="W33" t="str">
        <f>"17:40:31.461"</f>
        <v>17:40:31.461</v>
      </c>
      <c r="X33" t="str">
        <f>"17:40:31.461"</f>
        <v>17:40:31.461</v>
      </c>
      <c r="Y33" t="str">
        <f t="shared" si="1"/>
        <v>A7C771</v>
      </c>
      <c r="Z33">
        <v>0</v>
      </c>
      <c r="AA33">
        <v>0</v>
      </c>
      <c r="AB33">
        <v>2</v>
      </c>
      <c r="AC33">
        <v>0</v>
      </c>
      <c r="AE33">
        <v>0</v>
      </c>
      <c r="AF33">
        <v>8</v>
      </c>
      <c r="AG33">
        <v>3</v>
      </c>
      <c r="AH33">
        <v>0</v>
      </c>
      <c r="AI33">
        <v>9</v>
      </c>
      <c r="AJ33" t="s">
        <v>125</v>
      </c>
      <c r="AK33">
        <v>0</v>
      </c>
      <c r="AL33">
        <v>3</v>
      </c>
      <c r="AM33">
        <v>2</v>
      </c>
      <c r="AN33">
        <v>1</v>
      </c>
      <c r="AO33" t="s">
        <v>200</v>
      </c>
      <c r="AP33">
        <v>42.735658000000001</v>
      </c>
      <c r="AQ33" t="s">
        <v>201</v>
      </c>
      <c r="AR33">
        <v>-77.723872999999998</v>
      </c>
      <c r="AS33">
        <v>25</v>
      </c>
      <c r="AT33">
        <v>3625</v>
      </c>
      <c r="AU33" t="s">
        <v>123</v>
      </c>
      <c r="AV33">
        <v>115</v>
      </c>
      <c r="AW33">
        <v>195</v>
      </c>
      <c r="AX33">
        <v>-64</v>
      </c>
      <c r="AZ33">
        <f t="shared" si="6"/>
        <v>13225</v>
      </c>
      <c r="BA33">
        <f t="shared" si="7"/>
        <v>38025</v>
      </c>
      <c r="BB33" s="1">
        <f t="shared" si="8"/>
        <v>226.38462845343543</v>
      </c>
      <c r="BJ33">
        <v>1404</v>
      </c>
      <c r="BK33">
        <v>1</v>
      </c>
      <c r="BL33" t="str">
        <f t="shared" si="2"/>
        <v xml:space="preserve">N600C   </v>
      </c>
      <c r="BM33">
        <v>2</v>
      </c>
      <c r="BO33">
        <v>0</v>
      </c>
      <c r="BP33">
        <v>0</v>
      </c>
      <c r="BQ33">
        <v>0</v>
      </c>
      <c r="BR33">
        <v>3725</v>
      </c>
      <c r="BS33">
        <v>100</v>
      </c>
      <c r="BT33" t="s">
        <v>128</v>
      </c>
      <c r="BU33">
        <v>0</v>
      </c>
      <c r="BV33">
        <v>0</v>
      </c>
      <c r="BW33">
        <v>0</v>
      </c>
      <c r="BX33">
        <v>1</v>
      </c>
      <c r="CA33">
        <v>0</v>
      </c>
      <c r="CB33">
        <v>0</v>
      </c>
      <c r="CC33">
        <v>0</v>
      </c>
      <c r="CM33" t="str">
        <f>"17:40:31.462"</f>
        <v>17:40:31.462</v>
      </c>
      <c r="CN33">
        <v>462193445</v>
      </c>
      <c r="CQ33">
        <v>0</v>
      </c>
      <c r="CR33">
        <v>4000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2</v>
      </c>
      <c r="DC33">
        <v>0</v>
      </c>
      <c r="DD33">
        <v>2</v>
      </c>
      <c r="DE33">
        <v>0</v>
      </c>
      <c r="DF33">
        <v>7</v>
      </c>
      <c r="DG33">
        <v>7</v>
      </c>
      <c r="DH33" t="s">
        <v>124</v>
      </c>
      <c r="DI33">
        <v>71</v>
      </c>
      <c r="DJ33">
        <v>2</v>
      </c>
      <c r="DK33" t="s">
        <v>134</v>
      </c>
      <c r="DL33" t="s">
        <v>135</v>
      </c>
      <c r="DO33">
        <v>710688</v>
      </c>
      <c r="DQ33">
        <v>0</v>
      </c>
      <c r="DR33">
        <v>0</v>
      </c>
      <c r="DS33">
        <v>1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</row>
    <row r="34" spans="1:131" x14ac:dyDescent="0.35">
      <c r="A34" s="2" t="str">
        <f>"17:40:32.738"</f>
        <v>17:40:32.738</v>
      </c>
      <c r="B34" s="4">
        <f t="shared" si="9"/>
        <v>63632.737999999998</v>
      </c>
      <c r="C34" s="4">
        <f t="shared" si="3"/>
        <v>32.737999999997555</v>
      </c>
      <c r="D34" s="3">
        <f t="shared" si="4"/>
        <v>0.73649002314814815</v>
      </c>
      <c r="E34" s="2">
        <f t="shared" si="5"/>
        <v>0.73649002314814815</v>
      </c>
      <c r="G34" t="str">
        <f t="shared" si="0"/>
        <v>FFDFD7C0</v>
      </c>
      <c r="H34" t="s">
        <v>126</v>
      </c>
      <c r="I34">
        <v>8</v>
      </c>
      <c r="J34">
        <v>1008</v>
      </c>
      <c r="K34" t="s">
        <v>129</v>
      </c>
      <c r="N34" t="s">
        <v>127</v>
      </c>
      <c r="O34">
        <v>0</v>
      </c>
      <c r="P34">
        <v>3</v>
      </c>
      <c r="Q34">
        <v>0</v>
      </c>
      <c r="R34">
        <v>2</v>
      </c>
      <c r="S34">
        <v>1</v>
      </c>
      <c r="T34">
        <v>0</v>
      </c>
      <c r="U34">
        <v>0</v>
      </c>
      <c r="W34" t="str">
        <f>"17:40:32.430"</f>
        <v>17:40:32.430</v>
      </c>
      <c r="X34" t="str">
        <f>"17:40:32.230"</f>
        <v>17:40:32.230</v>
      </c>
      <c r="Y34" t="str">
        <f t="shared" si="1"/>
        <v>A7C771</v>
      </c>
      <c r="Z34">
        <v>0</v>
      </c>
      <c r="AA34">
        <v>0</v>
      </c>
      <c r="AB34">
        <v>2</v>
      </c>
      <c r="AC34">
        <v>0</v>
      </c>
      <c r="AE34">
        <v>0</v>
      </c>
      <c r="AF34">
        <v>8</v>
      </c>
      <c r="AG34">
        <v>3</v>
      </c>
      <c r="AH34">
        <v>0</v>
      </c>
      <c r="AI34">
        <v>9</v>
      </c>
      <c r="AJ34" t="s">
        <v>125</v>
      </c>
      <c r="AK34">
        <v>0</v>
      </c>
      <c r="AL34">
        <v>3</v>
      </c>
      <c r="AM34">
        <v>2</v>
      </c>
      <c r="AN34">
        <v>1</v>
      </c>
      <c r="AO34" t="s">
        <v>202</v>
      </c>
      <c r="AP34">
        <v>42.736536999999998</v>
      </c>
      <c r="AQ34" t="s">
        <v>203</v>
      </c>
      <c r="AR34">
        <v>-77.723100000000002</v>
      </c>
      <c r="AS34">
        <v>25</v>
      </c>
      <c r="AT34">
        <v>3625</v>
      </c>
      <c r="AU34" t="s">
        <v>123</v>
      </c>
      <c r="AV34">
        <v>115</v>
      </c>
      <c r="AW34">
        <v>195</v>
      </c>
      <c r="AX34">
        <v>-64</v>
      </c>
      <c r="AZ34">
        <f t="shared" si="6"/>
        <v>13225</v>
      </c>
      <c r="BA34">
        <f t="shared" si="7"/>
        <v>38025</v>
      </c>
      <c r="BB34" s="1">
        <f t="shared" si="8"/>
        <v>226.38462845343543</v>
      </c>
      <c r="BJ34">
        <v>1404</v>
      </c>
      <c r="BK34">
        <v>1</v>
      </c>
      <c r="BL34" t="str">
        <f t="shared" si="2"/>
        <v xml:space="preserve">N600C   </v>
      </c>
      <c r="BM34">
        <v>2</v>
      </c>
      <c r="BO34">
        <v>0</v>
      </c>
      <c r="BP34">
        <v>0</v>
      </c>
      <c r="BQ34">
        <v>0</v>
      </c>
      <c r="BR34">
        <v>3725</v>
      </c>
      <c r="BS34">
        <v>100</v>
      </c>
      <c r="BT34" t="s">
        <v>128</v>
      </c>
      <c r="BU34">
        <v>0</v>
      </c>
      <c r="BV34">
        <v>0</v>
      </c>
      <c r="BW34">
        <v>0</v>
      </c>
      <c r="BX34">
        <v>1</v>
      </c>
      <c r="CA34">
        <v>0</v>
      </c>
      <c r="CB34">
        <v>0</v>
      </c>
      <c r="CC34">
        <v>0</v>
      </c>
      <c r="CM34" t="str">
        <f>"17:40:32.430"</f>
        <v>17:40:32.430</v>
      </c>
      <c r="CN34">
        <v>430371617</v>
      </c>
      <c r="CQ34">
        <v>0</v>
      </c>
      <c r="CR34">
        <v>4000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2</v>
      </c>
      <c r="DC34">
        <v>0</v>
      </c>
      <c r="DD34">
        <v>2</v>
      </c>
      <c r="DE34">
        <v>0</v>
      </c>
      <c r="DF34">
        <v>7</v>
      </c>
      <c r="DG34">
        <v>7</v>
      </c>
      <c r="DH34" t="s">
        <v>124</v>
      </c>
      <c r="DI34">
        <v>71</v>
      </c>
      <c r="DJ34">
        <v>2</v>
      </c>
      <c r="DK34" t="s">
        <v>134</v>
      </c>
      <c r="DL34" t="s">
        <v>135</v>
      </c>
      <c r="DO34">
        <v>711595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</row>
    <row r="35" spans="1:131" x14ac:dyDescent="0.35">
      <c r="A35" s="2" t="str">
        <f>"17:40:33.552"</f>
        <v>17:40:33.552</v>
      </c>
      <c r="B35" s="4">
        <f t="shared" si="9"/>
        <v>63633.552000000003</v>
      </c>
      <c r="C35" s="4">
        <f t="shared" si="3"/>
        <v>33.552000000003318</v>
      </c>
      <c r="D35" s="3">
        <f t="shared" si="4"/>
        <v>0.73649944444444448</v>
      </c>
      <c r="E35" s="2">
        <f t="shared" si="5"/>
        <v>0.73649944444444448</v>
      </c>
      <c r="G35" t="str">
        <f t="shared" si="0"/>
        <v>FFDFD7C0</v>
      </c>
      <c r="H35" t="s">
        <v>126</v>
      </c>
      <c r="I35">
        <v>8</v>
      </c>
      <c r="J35">
        <v>1008</v>
      </c>
      <c r="K35" t="s">
        <v>129</v>
      </c>
      <c r="N35" t="s">
        <v>127</v>
      </c>
      <c r="O35">
        <v>0</v>
      </c>
      <c r="P35">
        <v>3</v>
      </c>
      <c r="Q35">
        <v>0</v>
      </c>
      <c r="R35">
        <v>2</v>
      </c>
      <c r="S35">
        <v>1</v>
      </c>
      <c r="T35">
        <v>0</v>
      </c>
      <c r="U35">
        <v>0</v>
      </c>
      <c r="W35" t="str">
        <f>"17:40:33.352"</f>
        <v>17:40:33.352</v>
      </c>
      <c r="X35" t="str">
        <f>"17:40:33.352"</f>
        <v>17:40:33.352</v>
      </c>
      <c r="Y35" t="str">
        <f t="shared" si="1"/>
        <v>A7C771</v>
      </c>
      <c r="Z35">
        <v>0</v>
      </c>
      <c r="AA35">
        <v>0</v>
      </c>
      <c r="AB35">
        <v>2</v>
      </c>
      <c r="AC35">
        <v>0</v>
      </c>
      <c r="AE35">
        <v>0</v>
      </c>
      <c r="AF35">
        <v>8</v>
      </c>
      <c r="AG35">
        <v>3</v>
      </c>
      <c r="AH35">
        <v>0</v>
      </c>
      <c r="AI35">
        <v>9</v>
      </c>
      <c r="AJ35" t="s">
        <v>125</v>
      </c>
      <c r="AK35">
        <v>0</v>
      </c>
      <c r="AL35">
        <v>3</v>
      </c>
      <c r="AM35">
        <v>2</v>
      </c>
      <c r="AN35">
        <v>1</v>
      </c>
      <c r="AO35" t="s">
        <v>204</v>
      </c>
      <c r="AP35">
        <v>42.737374000000003</v>
      </c>
      <c r="AQ35" t="s">
        <v>205</v>
      </c>
      <c r="AR35">
        <v>-77.722455999999994</v>
      </c>
      <c r="AS35">
        <v>25</v>
      </c>
      <c r="AT35">
        <v>3625</v>
      </c>
      <c r="AU35" t="s">
        <v>123</v>
      </c>
      <c r="AV35">
        <v>115</v>
      </c>
      <c r="AW35">
        <v>194</v>
      </c>
      <c r="AX35">
        <v>-64</v>
      </c>
      <c r="AZ35">
        <f t="shared" si="6"/>
        <v>13225</v>
      </c>
      <c r="BA35">
        <f t="shared" si="7"/>
        <v>37636</v>
      </c>
      <c r="BB35" s="1">
        <f t="shared" si="8"/>
        <v>225.52383466055201</v>
      </c>
      <c r="BJ35">
        <v>1404</v>
      </c>
      <c r="BK35">
        <v>1</v>
      </c>
      <c r="BL35" t="str">
        <f t="shared" si="2"/>
        <v xml:space="preserve">N600C   </v>
      </c>
      <c r="BM35">
        <v>2</v>
      </c>
      <c r="BO35">
        <v>0</v>
      </c>
      <c r="BP35">
        <v>0</v>
      </c>
      <c r="BQ35">
        <v>0</v>
      </c>
      <c r="BR35">
        <v>3725</v>
      </c>
      <c r="BS35">
        <v>100</v>
      </c>
      <c r="BT35" t="s">
        <v>128</v>
      </c>
      <c r="BU35">
        <v>0</v>
      </c>
      <c r="BV35">
        <v>0</v>
      </c>
      <c r="BW35">
        <v>0</v>
      </c>
      <c r="BX35">
        <v>1</v>
      </c>
      <c r="CA35">
        <v>0.04</v>
      </c>
      <c r="CB35">
        <v>0</v>
      </c>
      <c r="CC35">
        <v>0</v>
      </c>
      <c r="CM35" t="str">
        <f>"17:40:33.359"</f>
        <v>17:40:33.359</v>
      </c>
      <c r="CN35">
        <v>358536271</v>
      </c>
      <c r="CQ35">
        <v>0</v>
      </c>
      <c r="CR35">
        <v>4000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2</v>
      </c>
      <c r="DC35">
        <v>0</v>
      </c>
      <c r="DD35">
        <v>2</v>
      </c>
      <c r="DE35">
        <v>0</v>
      </c>
      <c r="DF35">
        <v>7</v>
      </c>
      <c r="DG35">
        <v>7</v>
      </c>
      <c r="DH35" t="s">
        <v>124</v>
      </c>
      <c r="DI35">
        <v>71</v>
      </c>
      <c r="DJ35">
        <v>2</v>
      </c>
      <c r="DK35" t="s">
        <v>134</v>
      </c>
      <c r="DL35" t="s">
        <v>135</v>
      </c>
      <c r="DO35">
        <v>712422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</row>
    <row r="36" spans="1:131" x14ac:dyDescent="0.35">
      <c r="A36" s="2" t="str">
        <f>"17:40:34.676"</f>
        <v>17:40:34.676</v>
      </c>
      <c r="B36" s="4">
        <f t="shared" si="9"/>
        <v>63634.675999999999</v>
      </c>
      <c r="C36" s="4">
        <f t="shared" si="3"/>
        <v>34.675999999999476</v>
      </c>
      <c r="D36" s="3">
        <f t="shared" si="4"/>
        <v>0.73651245370370366</v>
      </c>
      <c r="E36" s="2">
        <f t="shared" si="5"/>
        <v>0.73651245370370366</v>
      </c>
      <c r="G36" t="str">
        <f t="shared" si="0"/>
        <v>FFDFD7C0</v>
      </c>
      <c r="H36" t="s">
        <v>126</v>
      </c>
      <c r="I36">
        <v>8</v>
      </c>
      <c r="J36">
        <v>1008</v>
      </c>
      <c r="K36" t="s">
        <v>129</v>
      </c>
      <c r="N36" t="s">
        <v>127</v>
      </c>
      <c r="O36">
        <v>0</v>
      </c>
      <c r="P36">
        <v>3</v>
      </c>
      <c r="Q36">
        <v>0</v>
      </c>
      <c r="R36">
        <v>2</v>
      </c>
      <c r="S36">
        <v>1</v>
      </c>
      <c r="T36">
        <v>0</v>
      </c>
      <c r="U36">
        <v>0</v>
      </c>
      <c r="W36" t="str">
        <f>"17:40:34.336"</f>
        <v>17:40:34.336</v>
      </c>
      <c r="X36" t="str">
        <f>"17:40:34.136"</f>
        <v>17:40:34.136</v>
      </c>
      <c r="Y36" t="str">
        <f t="shared" si="1"/>
        <v>A7C771</v>
      </c>
      <c r="Z36">
        <v>0</v>
      </c>
      <c r="AA36">
        <v>0</v>
      </c>
      <c r="AB36">
        <v>2</v>
      </c>
      <c r="AC36">
        <v>0</v>
      </c>
      <c r="AE36">
        <v>0</v>
      </c>
      <c r="AF36">
        <v>8</v>
      </c>
      <c r="AG36">
        <v>3</v>
      </c>
      <c r="AH36">
        <v>0</v>
      </c>
      <c r="AI36">
        <v>9</v>
      </c>
      <c r="AJ36" t="s">
        <v>125</v>
      </c>
      <c r="AK36">
        <v>0</v>
      </c>
      <c r="AL36">
        <v>3</v>
      </c>
      <c r="AM36">
        <v>2</v>
      </c>
      <c r="AN36">
        <v>1</v>
      </c>
      <c r="AO36" t="s">
        <v>206</v>
      </c>
      <c r="AP36">
        <v>42.738233000000001</v>
      </c>
      <c r="AQ36" t="s">
        <v>207</v>
      </c>
      <c r="AR36">
        <v>-77.721770000000006</v>
      </c>
      <c r="AS36">
        <v>25</v>
      </c>
      <c r="AT36">
        <v>3625</v>
      </c>
      <c r="AU36" t="s">
        <v>123</v>
      </c>
      <c r="AV36">
        <v>114</v>
      </c>
      <c r="AW36">
        <v>193</v>
      </c>
      <c r="AX36">
        <v>-128</v>
      </c>
      <c r="AZ36">
        <f t="shared" si="6"/>
        <v>12996</v>
      </c>
      <c r="BA36">
        <f t="shared" si="7"/>
        <v>37249</v>
      </c>
      <c r="BB36" s="1">
        <f t="shared" si="8"/>
        <v>224.1539649437413</v>
      </c>
      <c r="BJ36">
        <v>1404</v>
      </c>
      <c r="BK36">
        <v>1</v>
      </c>
      <c r="BL36" t="str">
        <f t="shared" si="2"/>
        <v xml:space="preserve">N600C   </v>
      </c>
      <c r="BM36">
        <v>2</v>
      </c>
      <c r="BO36">
        <v>0</v>
      </c>
      <c r="BP36">
        <v>0</v>
      </c>
      <c r="BQ36">
        <v>0</v>
      </c>
      <c r="BR36">
        <v>3725</v>
      </c>
      <c r="BS36">
        <v>100</v>
      </c>
      <c r="BT36" t="s">
        <v>128</v>
      </c>
      <c r="BU36">
        <v>0</v>
      </c>
      <c r="BV36">
        <v>0</v>
      </c>
      <c r="BW36">
        <v>0</v>
      </c>
      <c r="BX36">
        <v>1</v>
      </c>
      <c r="CA36">
        <v>0</v>
      </c>
      <c r="CB36">
        <v>0</v>
      </c>
      <c r="CC36">
        <v>0</v>
      </c>
      <c r="CM36" t="str">
        <f>"17:40:34.343"</f>
        <v>17:40:34.343</v>
      </c>
      <c r="CN36">
        <v>342790952</v>
      </c>
      <c r="CQ36">
        <v>0</v>
      </c>
      <c r="CR36">
        <v>4000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2</v>
      </c>
      <c r="DC36">
        <v>0</v>
      </c>
      <c r="DD36">
        <v>2</v>
      </c>
      <c r="DE36">
        <v>0</v>
      </c>
      <c r="DF36">
        <v>6</v>
      </c>
      <c r="DG36">
        <v>7</v>
      </c>
      <c r="DH36" t="s">
        <v>124</v>
      </c>
      <c r="DI36">
        <v>71</v>
      </c>
      <c r="DJ36">
        <v>2</v>
      </c>
      <c r="DK36" t="s">
        <v>134</v>
      </c>
      <c r="DL36" t="s">
        <v>135</v>
      </c>
      <c r="DO36">
        <v>713312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</row>
    <row r="37" spans="1:131" x14ac:dyDescent="0.35">
      <c r="A37" s="2" t="str">
        <f>"17:40:35.754"</f>
        <v>17:40:35.754</v>
      </c>
      <c r="B37" s="4">
        <f t="shared" si="9"/>
        <v>63635.754000000001</v>
      </c>
      <c r="C37" s="4">
        <f t="shared" si="3"/>
        <v>35.754000000000815</v>
      </c>
      <c r="D37" s="3">
        <f t="shared" si="4"/>
        <v>0.73652493055555557</v>
      </c>
      <c r="E37" s="2">
        <f t="shared" si="5"/>
        <v>0.73652493055555557</v>
      </c>
      <c r="G37" t="str">
        <f t="shared" si="0"/>
        <v>FFDFD7C0</v>
      </c>
      <c r="H37" t="s">
        <v>126</v>
      </c>
      <c r="I37">
        <v>8</v>
      </c>
      <c r="J37">
        <v>1008</v>
      </c>
      <c r="K37" t="s">
        <v>129</v>
      </c>
      <c r="N37" t="s">
        <v>127</v>
      </c>
      <c r="O37">
        <v>0</v>
      </c>
      <c r="P37">
        <v>3</v>
      </c>
      <c r="Q37">
        <v>0</v>
      </c>
      <c r="R37">
        <v>2</v>
      </c>
      <c r="S37">
        <v>1</v>
      </c>
      <c r="T37">
        <v>0</v>
      </c>
      <c r="U37">
        <v>0</v>
      </c>
      <c r="W37" t="str">
        <f>"17:40:35.391"</f>
        <v>17:40:35.391</v>
      </c>
      <c r="X37" t="str">
        <f>"17:40:35.291"</f>
        <v>17:40:35.291</v>
      </c>
      <c r="Y37" t="str">
        <f t="shared" si="1"/>
        <v>A7C771</v>
      </c>
      <c r="Z37">
        <v>0</v>
      </c>
      <c r="AA37">
        <v>0</v>
      </c>
      <c r="AB37">
        <v>2</v>
      </c>
      <c r="AC37">
        <v>0</v>
      </c>
      <c r="AE37">
        <v>0</v>
      </c>
      <c r="AF37">
        <v>8</v>
      </c>
      <c r="AG37">
        <v>3</v>
      </c>
      <c r="AH37">
        <v>0</v>
      </c>
      <c r="AI37">
        <v>9</v>
      </c>
      <c r="AJ37" t="s">
        <v>125</v>
      </c>
      <c r="AK37">
        <v>0</v>
      </c>
      <c r="AL37">
        <v>3</v>
      </c>
      <c r="AM37">
        <v>2</v>
      </c>
      <c r="AN37">
        <v>1</v>
      </c>
      <c r="AO37" t="s">
        <v>208</v>
      </c>
      <c r="AP37">
        <v>42.739198000000002</v>
      </c>
      <c r="AQ37" t="s">
        <v>209</v>
      </c>
      <c r="AR37">
        <v>-77.720996999999997</v>
      </c>
      <c r="AS37">
        <v>25</v>
      </c>
      <c r="AT37">
        <v>3625</v>
      </c>
      <c r="AU37" t="s">
        <v>123</v>
      </c>
      <c r="AV37">
        <v>113</v>
      </c>
      <c r="AW37">
        <v>192</v>
      </c>
      <c r="AX37">
        <v>-64</v>
      </c>
      <c r="AZ37">
        <f t="shared" si="6"/>
        <v>12769</v>
      </c>
      <c r="BA37">
        <f t="shared" si="7"/>
        <v>36864</v>
      </c>
      <c r="BB37" s="1">
        <f t="shared" si="8"/>
        <v>222.78464938141497</v>
      </c>
      <c r="BJ37">
        <v>1404</v>
      </c>
      <c r="BK37">
        <v>1</v>
      </c>
      <c r="BL37" t="str">
        <f t="shared" si="2"/>
        <v xml:space="preserve">N600C   </v>
      </c>
      <c r="BM37">
        <v>2</v>
      </c>
      <c r="BO37">
        <v>0</v>
      </c>
      <c r="BP37">
        <v>0</v>
      </c>
      <c r="BQ37">
        <v>0</v>
      </c>
      <c r="BR37">
        <v>3725</v>
      </c>
      <c r="BS37">
        <v>100</v>
      </c>
      <c r="BT37" t="s">
        <v>128</v>
      </c>
      <c r="BU37">
        <v>0</v>
      </c>
      <c r="BV37">
        <v>0</v>
      </c>
      <c r="BW37">
        <v>0</v>
      </c>
      <c r="BX37">
        <v>1</v>
      </c>
      <c r="CA37">
        <v>0</v>
      </c>
      <c r="CB37">
        <v>0</v>
      </c>
      <c r="CC37">
        <v>0</v>
      </c>
      <c r="CM37" t="str">
        <f>"17:40:35.391"</f>
        <v>17:40:35.391</v>
      </c>
      <c r="CN37">
        <v>390908096</v>
      </c>
      <c r="CQ37">
        <v>0</v>
      </c>
      <c r="CR37">
        <v>4000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2</v>
      </c>
      <c r="DC37">
        <v>0</v>
      </c>
      <c r="DD37">
        <v>2</v>
      </c>
      <c r="DE37">
        <v>0</v>
      </c>
      <c r="DF37">
        <v>7</v>
      </c>
      <c r="DG37">
        <v>7</v>
      </c>
      <c r="DH37" t="s">
        <v>124</v>
      </c>
      <c r="DI37">
        <v>71</v>
      </c>
      <c r="DJ37">
        <v>2</v>
      </c>
      <c r="DK37" t="s">
        <v>134</v>
      </c>
      <c r="DL37" t="s">
        <v>135</v>
      </c>
      <c r="DO37">
        <v>714305</v>
      </c>
      <c r="DQ37">
        <v>0</v>
      </c>
      <c r="DR37">
        <v>0</v>
      </c>
      <c r="DS37">
        <v>1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</row>
    <row r="38" spans="1:131" x14ac:dyDescent="0.35">
      <c r="A38" s="2" t="str">
        <f>"17:40:36.723"</f>
        <v>17:40:36.723</v>
      </c>
      <c r="B38" s="4">
        <f t="shared" si="9"/>
        <v>63636.722999999991</v>
      </c>
      <c r="C38" s="4">
        <f t="shared" si="3"/>
        <v>36.722999999990861</v>
      </c>
      <c r="D38" s="3">
        <f t="shared" si="4"/>
        <v>0.73653614583333327</v>
      </c>
      <c r="E38" s="2">
        <f t="shared" si="5"/>
        <v>0.73653614583333327</v>
      </c>
      <c r="G38" t="str">
        <f t="shared" si="0"/>
        <v>FFDFD7C0</v>
      </c>
      <c r="H38" t="s">
        <v>126</v>
      </c>
      <c r="I38">
        <v>8</v>
      </c>
      <c r="J38">
        <v>1008</v>
      </c>
      <c r="K38" t="s">
        <v>129</v>
      </c>
      <c r="N38" t="s">
        <v>127</v>
      </c>
      <c r="O38">
        <v>0</v>
      </c>
      <c r="P38">
        <v>3</v>
      </c>
      <c r="Q38">
        <v>0</v>
      </c>
      <c r="R38">
        <v>2</v>
      </c>
      <c r="S38">
        <v>1</v>
      </c>
      <c r="T38">
        <v>0</v>
      </c>
      <c r="U38">
        <v>0</v>
      </c>
      <c r="W38" t="str">
        <f>"17:40:36.336"</f>
        <v>17:40:36.336</v>
      </c>
      <c r="X38" t="str">
        <f>"17:40:36.236"</f>
        <v>17:40:36.236</v>
      </c>
      <c r="Y38" t="str">
        <f t="shared" si="1"/>
        <v>A7C771</v>
      </c>
      <c r="Z38">
        <v>0</v>
      </c>
      <c r="AA38">
        <v>0</v>
      </c>
      <c r="AB38">
        <v>2</v>
      </c>
      <c r="AC38">
        <v>0</v>
      </c>
      <c r="AE38">
        <v>0</v>
      </c>
      <c r="AF38">
        <v>8</v>
      </c>
      <c r="AG38">
        <v>3</v>
      </c>
      <c r="AH38">
        <v>0</v>
      </c>
      <c r="AI38">
        <v>9</v>
      </c>
      <c r="AJ38" t="s">
        <v>125</v>
      </c>
      <c r="AK38">
        <v>0</v>
      </c>
      <c r="AL38">
        <v>3</v>
      </c>
      <c r="AM38">
        <v>2</v>
      </c>
      <c r="AN38">
        <v>1</v>
      </c>
      <c r="AO38" t="s">
        <v>210</v>
      </c>
      <c r="AP38">
        <v>42.740014000000002</v>
      </c>
      <c r="AQ38" t="s">
        <v>211</v>
      </c>
      <c r="AR38">
        <v>-77.720354</v>
      </c>
      <c r="AS38">
        <v>25</v>
      </c>
      <c r="AT38">
        <v>3625</v>
      </c>
      <c r="AU38" t="s">
        <v>123</v>
      </c>
      <c r="AV38">
        <v>112</v>
      </c>
      <c r="AW38">
        <v>191</v>
      </c>
      <c r="AX38">
        <v>-128</v>
      </c>
      <c r="AZ38">
        <f t="shared" si="6"/>
        <v>12544</v>
      </c>
      <c r="BA38">
        <f t="shared" si="7"/>
        <v>36481</v>
      </c>
      <c r="BB38" s="1">
        <f t="shared" si="8"/>
        <v>221.41589825484527</v>
      </c>
      <c r="BJ38">
        <v>1404</v>
      </c>
      <c r="BK38">
        <v>1</v>
      </c>
      <c r="BL38" t="str">
        <f t="shared" si="2"/>
        <v xml:space="preserve">N600C   </v>
      </c>
      <c r="BM38">
        <v>2</v>
      </c>
      <c r="BO38">
        <v>0</v>
      </c>
      <c r="BP38">
        <v>0</v>
      </c>
      <c r="BQ38">
        <v>0</v>
      </c>
      <c r="BR38">
        <v>3725</v>
      </c>
      <c r="BS38">
        <v>100</v>
      </c>
      <c r="BT38" t="s">
        <v>128</v>
      </c>
      <c r="BU38">
        <v>0</v>
      </c>
      <c r="BV38">
        <v>0</v>
      </c>
      <c r="BW38">
        <v>0</v>
      </c>
      <c r="BX38">
        <v>1</v>
      </c>
      <c r="CA38">
        <v>0</v>
      </c>
      <c r="CB38">
        <v>0</v>
      </c>
      <c r="CC38">
        <v>0</v>
      </c>
      <c r="CM38" t="str">
        <f>"17:40:36.343"</f>
        <v>17:40:36.343</v>
      </c>
      <c r="CN38">
        <v>343079476</v>
      </c>
      <c r="CQ38">
        <v>0</v>
      </c>
      <c r="CR38">
        <v>4000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2</v>
      </c>
      <c r="DC38">
        <v>0</v>
      </c>
      <c r="DD38">
        <v>2</v>
      </c>
      <c r="DE38">
        <v>0</v>
      </c>
      <c r="DF38">
        <v>7</v>
      </c>
      <c r="DG38">
        <v>7</v>
      </c>
      <c r="DH38" t="s">
        <v>124</v>
      </c>
      <c r="DI38">
        <v>71</v>
      </c>
      <c r="DJ38">
        <v>1</v>
      </c>
      <c r="DK38" t="s">
        <v>134</v>
      </c>
      <c r="DL38" t="s">
        <v>135</v>
      </c>
      <c r="DO38">
        <v>11229670</v>
      </c>
      <c r="DQ38">
        <v>0</v>
      </c>
      <c r="DR38">
        <v>0</v>
      </c>
      <c r="DS38">
        <v>1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</row>
    <row r="39" spans="1:131" x14ac:dyDescent="0.35">
      <c r="A39" s="2" t="str">
        <f>"17:40:37.552"</f>
        <v>17:40:37.552</v>
      </c>
      <c r="B39" s="4">
        <f t="shared" si="9"/>
        <v>63637.552000000003</v>
      </c>
      <c r="C39" s="4">
        <f t="shared" si="3"/>
        <v>37.552000000003318</v>
      </c>
      <c r="D39" s="3">
        <f t="shared" si="4"/>
        <v>0.73654574074074075</v>
      </c>
      <c r="E39" s="2">
        <f t="shared" si="5"/>
        <v>0.73654574074074075</v>
      </c>
      <c r="G39" t="str">
        <f t="shared" si="0"/>
        <v>FFDFD7C0</v>
      </c>
      <c r="H39" t="s">
        <v>126</v>
      </c>
      <c r="I39">
        <v>8</v>
      </c>
      <c r="J39">
        <v>1008</v>
      </c>
      <c r="K39" t="s">
        <v>129</v>
      </c>
      <c r="N39" t="s">
        <v>127</v>
      </c>
      <c r="O39">
        <v>0</v>
      </c>
      <c r="P39">
        <v>3</v>
      </c>
      <c r="Q39">
        <v>0</v>
      </c>
      <c r="R39">
        <v>2</v>
      </c>
      <c r="S39">
        <v>1</v>
      </c>
      <c r="T39">
        <v>0</v>
      </c>
      <c r="U39">
        <v>0</v>
      </c>
      <c r="W39" t="str">
        <f>"17:40:37.305"</f>
        <v>17:40:37.305</v>
      </c>
      <c r="X39" t="str">
        <f>"17:40:37.205"</f>
        <v>17:40:37.205</v>
      </c>
      <c r="Y39" t="str">
        <f t="shared" si="1"/>
        <v>A7C771</v>
      </c>
      <c r="Z39">
        <v>0</v>
      </c>
      <c r="AA39">
        <v>0</v>
      </c>
      <c r="AB39">
        <v>2</v>
      </c>
      <c r="AC39">
        <v>0</v>
      </c>
      <c r="AE39">
        <v>0</v>
      </c>
      <c r="AF39">
        <v>8</v>
      </c>
      <c r="AG39">
        <v>3</v>
      </c>
      <c r="AH39">
        <v>0</v>
      </c>
      <c r="AI39">
        <v>9</v>
      </c>
      <c r="AJ39" t="s">
        <v>125</v>
      </c>
      <c r="AK39">
        <v>0</v>
      </c>
      <c r="AL39">
        <v>3</v>
      </c>
      <c r="AM39">
        <v>2</v>
      </c>
      <c r="AN39">
        <v>1</v>
      </c>
      <c r="AO39" t="s">
        <v>212</v>
      </c>
      <c r="AP39">
        <v>42.740893</v>
      </c>
      <c r="AQ39" t="s">
        <v>213</v>
      </c>
      <c r="AR39">
        <v>-77.719667000000001</v>
      </c>
      <c r="AS39">
        <v>25</v>
      </c>
      <c r="AT39">
        <v>3625</v>
      </c>
      <c r="AU39" t="s">
        <v>123</v>
      </c>
      <c r="AV39">
        <v>112</v>
      </c>
      <c r="AW39">
        <v>190</v>
      </c>
      <c r="AX39">
        <v>-64</v>
      </c>
      <c r="AZ39">
        <f t="shared" si="6"/>
        <v>12544</v>
      </c>
      <c r="BA39">
        <f t="shared" si="7"/>
        <v>36100</v>
      </c>
      <c r="BB39" s="1">
        <f t="shared" si="8"/>
        <v>220.55384830013736</v>
      </c>
      <c r="BJ39">
        <v>1404</v>
      </c>
      <c r="BK39">
        <v>1</v>
      </c>
      <c r="BL39" t="str">
        <f t="shared" si="2"/>
        <v xml:space="preserve">N600C   </v>
      </c>
      <c r="BM39">
        <v>2</v>
      </c>
      <c r="BO39">
        <v>0</v>
      </c>
      <c r="BP39">
        <v>0</v>
      </c>
      <c r="BQ39">
        <v>0</v>
      </c>
      <c r="BR39">
        <v>3725</v>
      </c>
      <c r="BS39">
        <v>100</v>
      </c>
      <c r="BT39" t="s">
        <v>128</v>
      </c>
      <c r="BU39">
        <v>0</v>
      </c>
      <c r="BV39">
        <v>0</v>
      </c>
      <c r="BW39">
        <v>0</v>
      </c>
      <c r="BX39">
        <v>1</v>
      </c>
      <c r="CA39">
        <v>0</v>
      </c>
      <c r="CB39">
        <v>0</v>
      </c>
      <c r="CC39">
        <v>0</v>
      </c>
      <c r="CM39" t="str">
        <f>"17:40:37.311"</f>
        <v>17:40:37.311</v>
      </c>
      <c r="CN39">
        <v>311265497</v>
      </c>
      <c r="CQ39">
        <v>0</v>
      </c>
      <c r="CR39">
        <v>4000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2</v>
      </c>
      <c r="DC39">
        <v>0</v>
      </c>
      <c r="DD39">
        <v>2</v>
      </c>
      <c r="DE39">
        <v>0</v>
      </c>
      <c r="DF39">
        <v>7</v>
      </c>
      <c r="DG39">
        <v>7</v>
      </c>
      <c r="DH39" t="s">
        <v>124</v>
      </c>
      <c r="DI39">
        <v>71</v>
      </c>
      <c r="DJ39">
        <v>2</v>
      </c>
      <c r="DK39" t="s">
        <v>134</v>
      </c>
      <c r="DL39" t="s">
        <v>135</v>
      </c>
      <c r="DO39">
        <v>716189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</row>
    <row r="40" spans="1:131" x14ac:dyDescent="0.35">
      <c r="A40" s="2" t="str">
        <f>"17:40:38.553"</f>
        <v>17:40:38.553</v>
      </c>
      <c r="B40" s="4">
        <f t="shared" si="9"/>
        <v>63638.553000000007</v>
      </c>
      <c r="C40" s="4">
        <f t="shared" si="3"/>
        <v>38.55300000000716</v>
      </c>
      <c r="D40" s="3">
        <f t="shared" si="4"/>
        <v>0.73655732638888893</v>
      </c>
      <c r="E40" s="2">
        <f t="shared" si="5"/>
        <v>0.73655732638888893</v>
      </c>
      <c r="G40" t="str">
        <f t="shared" si="0"/>
        <v>FFDFD7C0</v>
      </c>
      <c r="H40" t="s">
        <v>126</v>
      </c>
      <c r="I40">
        <v>8</v>
      </c>
      <c r="J40">
        <v>1008</v>
      </c>
      <c r="K40" t="s">
        <v>129</v>
      </c>
      <c r="N40" t="s">
        <v>127</v>
      </c>
      <c r="O40">
        <v>0</v>
      </c>
      <c r="P40">
        <v>3</v>
      </c>
      <c r="Q40">
        <v>0</v>
      </c>
      <c r="R40">
        <v>2</v>
      </c>
      <c r="S40">
        <v>1</v>
      </c>
      <c r="T40">
        <v>0</v>
      </c>
      <c r="U40">
        <v>0</v>
      </c>
      <c r="W40" t="str">
        <f>"17:40:38.289"</f>
        <v>17:40:38.289</v>
      </c>
      <c r="X40" t="str">
        <f>"17:40:38.089"</f>
        <v>17:40:38.089</v>
      </c>
      <c r="Y40" t="str">
        <f t="shared" si="1"/>
        <v>A7C771</v>
      </c>
      <c r="Z40">
        <v>0</v>
      </c>
      <c r="AA40">
        <v>0</v>
      </c>
      <c r="AB40">
        <v>2</v>
      </c>
      <c r="AC40">
        <v>0</v>
      </c>
      <c r="AE40">
        <v>0</v>
      </c>
      <c r="AF40">
        <v>8</v>
      </c>
      <c r="AG40">
        <v>3</v>
      </c>
      <c r="AH40">
        <v>0</v>
      </c>
      <c r="AI40">
        <v>9</v>
      </c>
      <c r="AJ40" t="s">
        <v>125</v>
      </c>
      <c r="AK40">
        <v>0</v>
      </c>
      <c r="AL40">
        <v>3</v>
      </c>
      <c r="AM40">
        <v>2</v>
      </c>
      <c r="AN40">
        <v>1</v>
      </c>
      <c r="AO40" t="s">
        <v>214</v>
      </c>
      <c r="AP40">
        <v>42.741751999999998</v>
      </c>
      <c r="AQ40" t="s">
        <v>215</v>
      </c>
      <c r="AR40">
        <v>-77.718980000000002</v>
      </c>
      <c r="AS40">
        <v>25</v>
      </c>
      <c r="AT40">
        <v>3625</v>
      </c>
      <c r="AU40" t="s">
        <v>123</v>
      </c>
      <c r="AV40">
        <v>111</v>
      </c>
      <c r="AW40">
        <v>189</v>
      </c>
      <c r="AX40">
        <v>0</v>
      </c>
      <c r="AZ40">
        <f t="shared" si="6"/>
        <v>12321</v>
      </c>
      <c r="BA40">
        <f t="shared" si="7"/>
        <v>35721</v>
      </c>
      <c r="BB40" s="1">
        <f t="shared" si="8"/>
        <v>219.18485349129398</v>
      </c>
      <c r="BJ40">
        <v>1404</v>
      </c>
      <c r="BK40">
        <v>1</v>
      </c>
      <c r="BL40" t="str">
        <f t="shared" si="2"/>
        <v xml:space="preserve">N600C   </v>
      </c>
      <c r="BM40">
        <v>2</v>
      </c>
      <c r="BO40">
        <v>0</v>
      </c>
      <c r="BP40">
        <v>0</v>
      </c>
      <c r="BQ40">
        <v>0</v>
      </c>
      <c r="BR40">
        <v>3725</v>
      </c>
      <c r="BS40">
        <v>100</v>
      </c>
      <c r="BT40" t="s">
        <v>128</v>
      </c>
      <c r="BU40">
        <v>0</v>
      </c>
      <c r="BV40">
        <v>0</v>
      </c>
      <c r="BW40">
        <v>0</v>
      </c>
      <c r="BX40">
        <v>1</v>
      </c>
      <c r="CA40">
        <v>0</v>
      </c>
      <c r="CB40">
        <v>0</v>
      </c>
      <c r="CC40">
        <v>0</v>
      </c>
      <c r="CM40" t="str">
        <f>"17:40:38.295"</f>
        <v>17:40:38.295</v>
      </c>
      <c r="CN40">
        <v>295448010</v>
      </c>
      <c r="CQ40">
        <v>0</v>
      </c>
      <c r="CR40">
        <v>4000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2</v>
      </c>
      <c r="DC40">
        <v>0</v>
      </c>
      <c r="DD40">
        <v>2</v>
      </c>
      <c r="DE40">
        <v>0</v>
      </c>
      <c r="DF40">
        <v>7</v>
      </c>
      <c r="DG40">
        <v>7</v>
      </c>
      <c r="DH40" t="s">
        <v>124</v>
      </c>
      <c r="DI40">
        <v>71</v>
      </c>
      <c r="DJ40">
        <v>2</v>
      </c>
      <c r="DK40" t="s">
        <v>134</v>
      </c>
      <c r="DL40" t="s">
        <v>135</v>
      </c>
      <c r="DO40">
        <v>717047</v>
      </c>
      <c r="DQ40">
        <v>0</v>
      </c>
      <c r="DR40">
        <v>0</v>
      </c>
      <c r="DS40">
        <v>1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</row>
    <row r="41" spans="1:131" x14ac:dyDescent="0.35">
      <c r="A41" s="2" t="str">
        <f>"17:40:52.068"</f>
        <v>17:40:52.068</v>
      </c>
      <c r="B41" s="4">
        <f t="shared" si="9"/>
        <v>63652.067999999992</v>
      </c>
      <c r="C41" s="4">
        <f t="shared" si="3"/>
        <v>52.067999999992026</v>
      </c>
      <c r="D41" s="3">
        <f t="shared" si="4"/>
        <v>0.73671374999999995</v>
      </c>
      <c r="E41" s="2">
        <f t="shared" si="5"/>
        <v>0.73671374999999995</v>
      </c>
      <c r="G41" t="str">
        <f t="shared" si="0"/>
        <v>FFDFD7C0</v>
      </c>
      <c r="H41" t="s">
        <v>126</v>
      </c>
      <c r="I41">
        <v>8</v>
      </c>
      <c r="J41">
        <v>1008</v>
      </c>
      <c r="K41" t="s">
        <v>129</v>
      </c>
      <c r="N41" t="s">
        <v>127</v>
      </c>
      <c r="O41">
        <v>0</v>
      </c>
      <c r="P41">
        <v>3</v>
      </c>
      <c r="Q41">
        <v>0</v>
      </c>
      <c r="R41">
        <v>2</v>
      </c>
      <c r="S41">
        <v>1</v>
      </c>
      <c r="T41">
        <v>0</v>
      </c>
      <c r="U41">
        <v>0</v>
      </c>
      <c r="W41" t="str">
        <f>"17:40:51.867"</f>
        <v>17:40:51.867</v>
      </c>
      <c r="X41" t="str">
        <f>"17:40:51.567"</f>
        <v>17:40:51.567</v>
      </c>
      <c r="Y41" t="str">
        <f t="shared" si="1"/>
        <v>A7C771</v>
      </c>
      <c r="Z41">
        <v>0</v>
      </c>
      <c r="AA41">
        <v>0</v>
      </c>
      <c r="AB41">
        <v>2</v>
      </c>
      <c r="AC41">
        <v>0</v>
      </c>
      <c r="AE41">
        <v>0</v>
      </c>
      <c r="AF41">
        <v>8</v>
      </c>
      <c r="AG41">
        <v>3</v>
      </c>
      <c r="AH41">
        <v>0</v>
      </c>
      <c r="AI41">
        <v>9</v>
      </c>
      <c r="AJ41" t="s">
        <v>125</v>
      </c>
      <c r="AK41">
        <v>0</v>
      </c>
      <c r="AL41">
        <v>3</v>
      </c>
      <c r="AM41">
        <v>2</v>
      </c>
      <c r="AN41">
        <v>1</v>
      </c>
      <c r="AO41" t="s">
        <v>216</v>
      </c>
      <c r="AP41">
        <v>42.753146000000001</v>
      </c>
      <c r="AQ41" t="s">
        <v>217</v>
      </c>
      <c r="AR41">
        <v>-77.709947</v>
      </c>
      <c r="AS41">
        <v>25</v>
      </c>
      <c r="AT41">
        <v>3625</v>
      </c>
      <c r="AU41" t="s">
        <v>123</v>
      </c>
      <c r="AV41">
        <v>103</v>
      </c>
      <c r="AW41">
        <v>178</v>
      </c>
      <c r="AX41">
        <v>64</v>
      </c>
      <c r="AZ41">
        <f t="shared" si="6"/>
        <v>10609</v>
      </c>
      <c r="BA41">
        <f t="shared" si="7"/>
        <v>31684</v>
      </c>
      <c r="BB41" s="1">
        <f t="shared" si="8"/>
        <v>205.65261972559455</v>
      </c>
      <c r="BJ41">
        <v>1404</v>
      </c>
      <c r="BK41">
        <v>1</v>
      </c>
      <c r="BL41" t="str">
        <f t="shared" si="2"/>
        <v xml:space="preserve">N600C   </v>
      </c>
      <c r="BM41">
        <v>2</v>
      </c>
      <c r="BO41">
        <v>0</v>
      </c>
      <c r="BP41">
        <v>0</v>
      </c>
      <c r="BQ41">
        <v>0</v>
      </c>
      <c r="BR41">
        <v>3725</v>
      </c>
      <c r="BS41">
        <v>100</v>
      </c>
      <c r="BT41" t="s">
        <v>128</v>
      </c>
      <c r="BU41">
        <v>0</v>
      </c>
      <c r="BV41">
        <v>0</v>
      </c>
      <c r="BW41">
        <v>0</v>
      </c>
      <c r="BX41">
        <v>1</v>
      </c>
      <c r="CA41">
        <v>0</v>
      </c>
      <c r="CB41">
        <v>0</v>
      </c>
      <c r="CC41">
        <v>0</v>
      </c>
      <c r="CM41" t="str">
        <f>"17:40:51.874"</f>
        <v>17:40:51.874</v>
      </c>
      <c r="CN41">
        <v>874089233</v>
      </c>
      <c r="CQ41">
        <v>0</v>
      </c>
      <c r="CR41">
        <v>4000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2</v>
      </c>
      <c r="DC41">
        <v>0</v>
      </c>
      <c r="DD41">
        <v>2</v>
      </c>
      <c r="DE41">
        <v>0</v>
      </c>
      <c r="DF41">
        <v>1</v>
      </c>
      <c r="DG41">
        <v>7</v>
      </c>
      <c r="DH41" t="s">
        <v>124</v>
      </c>
      <c r="DI41">
        <v>406</v>
      </c>
      <c r="DJ41">
        <v>0</v>
      </c>
      <c r="DK41" t="s">
        <v>136</v>
      </c>
      <c r="DL41" t="s">
        <v>137</v>
      </c>
      <c r="DO41">
        <v>11646418</v>
      </c>
      <c r="DQ41">
        <v>0</v>
      </c>
      <c r="DR41">
        <v>0</v>
      </c>
      <c r="DS41">
        <v>1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</row>
    <row r="42" spans="1:131" x14ac:dyDescent="0.35">
      <c r="A42" s="2" t="str">
        <f>"17:40:53.273"</f>
        <v>17:40:53.273</v>
      </c>
      <c r="B42" s="4">
        <f t="shared" si="9"/>
        <v>63653.273000000001</v>
      </c>
      <c r="C42" s="4">
        <f t="shared" si="3"/>
        <v>53.273000000001048</v>
      </c>
      <c r="D42" s="3">
        <f t="shared" si="4"/>
        <v>0.73672769675925931</v>
      </c>
      <c r="E42" s="2">
        <f t="shared" si="5"/>
        <v>0.73672769675925931</v>
      </c>
      <c r="G42" t="str">
        <f t="shared" si="0"/>
        <v>FFDFD7C0</v>
      </c>
      <c r="H42" t="s">
        <v>126</v>
      </c>
      <c r="I42">
        <v>8</v>
      </c>
      <c r="J42">
        <v>1008</v>
      </c>
      <c r="K42" t="s">
        <v>129</v>
      </c>
      <c r="N42" t="s">
        <v>127</v>
      </c>
      <c r="O42">
        <v>0</v>
      </c>
      <c r="P42">
        <v>3</v>
      </c>
      <c r="Q42">
        <v>0</v>
      </c>
      <c r="R42">
        <v>2</v>
      </c>
      <c r="S42">
        <v>1</v>
      </c>
      <c r="T42">
        <v>0</v>
      </c>
      <c r="U42">
        <v>0</v>
      </c>
      <c r="W42" t="str">
        <f>"17:40:52.977"</f>
        <v>17:40:52.977</v>
      </c>
      <c r="X42" t="str">
        <f>"17:40:52.577"</f>
        <v>17:40:52.577</v>
      </c>
      <c r="Y42" t="str">
        <f t="shared" si="1"/>
        <v>A7C771</v>
      </c>
      <c r="Z42">
        <v>0</v>
      </c>
      <c r="AA42">
        <v>0</v>
      </c>
      <c r="AB42">
        <v>2</v>
      </c>
      <c r="AC42">
        <v>0</v>
      </c>
      <c r="AE42">
        <v>0</v>
      </c>
      <c r="AF42">
        <v>8</v>
      </c>
      <c r="AG42">
        <v>3</v>
      </c>
      <c r="AH42">
        <v>0</v>
      </c>
      <c r="AI42">
        <v>9</v>
      </c>
      <c r="AJ42" t="s">
        <v>125</v>
      </c>
      <c r="AK42">
        <v>0</v>
      </c>
      <c r="AL42">
        <v>3</v>
      </c>
      <c r="AM42">
        <v>2</v>
      </c>
      <c r="AN42">
        <v>1</v>
      </c>
      <c r="AO42" t="s">
        <v>218</v>
      </c>
      <c r="AP42">
        <v>42.754024999999999</v>
      </c>
      <c r="AQ42" t="s">
        <v>219</v>
      </c>
      <c r="AR42">
        <v>-77.709238999999997</v>
      </c>
      <c r="AS42">
        <v>25</v>
      </c>
      <c r="AT42">
        <v>3625</v>
      </c>
      <c r="AU42" t="s">
        <v>123</v>
      </c>
      <c r="AV42">
        <v>103</v>
      </c>
      <c r="AW42">
        <v>177</v>
      </c>
      <c r="AX42">
        <v>0</v>
      </c>
      <c r="AZ42">
        <f t="shared" si="6"/>
        <v>10609</v>
      </c>
      <c r="BA42">
        <f t="shared" si="7"/>
        <v>31329</v>
      </c>
      <c r="BB42" s="1">
        <f t="shared" si="8"/>
        <v>204.78769494283586</v>
      </c>
      <c r="BJ42">
        <v>1404</v>
      </c>
      <c r="BK42">
        <v>1</v>
      </c>
      <c r="BL42" t="str">
        <f t="shared" si="2"/>
        <v xml:space="preserve">N600C   </v>
      </c>
      <c r="BM42">
        <v>2</v>
      </c>
      <c r="BO42">
        <v>0</v>
      </c>
      <c r="BP42">
        <v>0</v>
      </c>
      <c r="BQ42">
        <v>0</v>
      </c>
      <c r="BR42">
        <v>3725</v>
      </c>
      <c r="BS42">
        <v>100</v>
      </c>
      <c r="BT42" t="s">
        <v>128</v>
      </c>
      <c r="BU42">
        <v>0</v>
      </c>
      <c r="BV42">
        <v>0</v>
      </c>
      <c r="BW42">
        <v>0</v>
      </c>
      <c r="BX42">
        <v>1</v>
      </c>
      <c r="CA42">
        <v>0</v>
      </c>
      <c r="CB42">
        <v>0</v>
      </c>
      <c r="CC42">
        <v>0</v>
      </c>
      <c r="CM42" t="str">
        <f>"17:40:52.978"</f>
        <v>17:40:52.978</v>
      </c>
      <c r="CN42">
        <v>978144392</v>
      </c>
      <c r="CQ42">
        <v>0</v>
      </c>
      <c r="CR42">
        <v>4000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2</v>
      </c>
      <c r="DC42">
        <v>0</v>
      </c>
      <c r="DD42">
        <v>2</v>
      </c>
      <c r="DE42">
        <v>0</v>
      </c>
      <c r="DF42">
        <v>7</v>
      </c>
      <c r="DG42">
        <v>7</v>
      </c>
      <c r="DH42" t="s">
        <v>124</v>
      </c>
      <c r="DI42">
        <v>71</v>
      </c>
      <c r="DJ42">
        <v>2</v>
      </c>
      <c r="DK42" t="s">
        <v>134</v>
      </c>
      <c r="DL42" t="s">
        <v>135</v>
      </c>
      <c r="DO42">
        <v>730734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</row>
    <row r="43" spans="1:131" x14ac:dyDescent="0.35">
      <c r="A43" s="2" t="str">
        <f>"17:40:54.364"</f>
        <v>17:40:54.364</v>
      </c>
      <c r="B43" s="4">
        <f t="shared" si="9"/>
        <v>63654.364000000001</v>
      </c>
      <c r="C43" s="4">
        <f t="shared" si="3"/>
        <v>54.364000000001397</v>
      </c>
      <c r="D43" s="3">
        <f t="shared" si="4"/>
        <v>0.73674032407407408</v>
      </c>
      <c r="E43" s="2">
        <f t="shared" si="5"/>
        <v>0.73674032407407408</v>
      </c>
      <c r="G43" t="str">
        <f t="shared" si="0"/>
        <v>FFDFD7C0</v>
      </c>
      <c r="H43" t="s">
        <v>126</v>
      </c>
      <c r="I43">
        <v>8</v>
      </c>
      <c r="J43">
        <v>1008</v>
      </c>
      <c r="K43" t="s">
        <v>129</v>
      </c>
      <c r="N43" t="s">
        <v>127</v>
      </c>
      <c r="O43">
        <v>0</v>
      </c>
      <c r="P43">
        <v>3</v>
      </c>
      <c r="Q43">
        <v>0</v>
      </c>
      <c r="R43">
        <v>2</v>
      </c>
      <c r="S43">
        <v>1</v>
      </c>
      <c r="T43">
        <v>0</v>
      </c>
      <c r="U43">
        <v>0</v>
      </c>
      <c r="W43" t="str">
        <f>"17:40:54.109"</f>
        <v>17:40:54.109</v>
      </c>
      <c r="X43" t="str">
        <f>"17:40:54.009"</f>
        <v>17:40:54.009</v>
      </c>
      <c r="Y43" t="str">
        <f t="shared" si="1"/>
        <v>A7C771</v>
      </c>
      <c r="Z43">
        <v>0</v>
      </c>
      <c r="AA43">
        <v>0</v>
      </c>
      <c r="AB43">
        <v>2</v>
      </c>
      <c r="AC43">
        <v>0</v>
      </c>
      <c r="AE43">
        <v>0</v>
      </c>
      <c r="AF43">
        <v>8</v>
      </c>
      <c r="AG43">
        <v>3</v>
      </c>
      <c r="AH43">
        <v>0</v>
      </c>
      <c r="AI43">
        <v>9</v>
      </c>
      <c r="AJ43" t="s">
        <v>125</v>
      </c>
      <c r="AK43">
        <v>0</v>
      </c>
      <c r="AL43">
        <v>3</v>
      </c>
      <c r="AM43">
        <v>2</v>
      </c>
      <c r="AN43">
        <v>1</v>
      </c>
      <c r="AO43" t="s">
        <v>220</v>
      </c>
      <c r="AP43">
        <v>42.755034000000002</v>
      </c>
      <c r="AQ43" t="s">
        <v>221</v>
      </c>
      <c r="AR43">
        <v>-77.708488000000003</v>
      </c>
      <c r="AS43">
        <v>25</v>
      </c>
      <c r="AT43">
        <v>3625</v>
      </c>
      <c r="AU43" t="s">
        <v>123</v>
      </c>
      <c r="AV43">
        <v>102</v>
      </c>
      <c r="AW43">
        <v>176</v>
      </c>
      <c r="AX43">
        <v>-64</v>
      </c>
      <c r="AZ43">
        <f t="shared" si="6"/>
        <v>10404</v>
      </c>
      <c r="BA43">
        <f t="shared" si="7"/>
        <v>30976</v>
      </c>
      <c r="BB43" s="1">
        <f t="shared" si="8"/>
        <v>203.42074623793906</v>
      </c>
      <c r="BJ43">
        <v>1404</v>
      </c>
      <c r="BK43">
        <v>1</v>
      </c>
      <c r="BL43" t="str">
        <f t="shared" si="2"/>
        <v xml:space="preserve">N600C   </v>
      </c>
      <c r="BM43">
        <v>2</v>
      </c>
      <c r="BO43">
        <v>0</v>
      </c>
      <c r="BP43">
        <v>0</v>
      </c>
      <c r="BQ43">
        <v>0</v>
      </c>
      <c r="BR43">
        <v>3725</v>
      </c>
      <c r="BS43">
        <v>100</v>
      </c>
      <c r="BT43" t="s">
        <v>128</v>
      </c>
      <c r="BU43">
        <v>0</v>
      </c>
      <c r="BV43">
        <v>0</v>
      </c>
      <c r="BW43">
        <v>0</v>
      </c>
      <c r="BX43">
        <v>1</v>
      </c>
      <c r="CA43">
        <v>0</v>
      </c>
      <c r="CB43">
        <v>0</v>
      </c>
      <c r="CC43">
        <v>0</v>
      </c>
      <c r="CM43" t="str">
        <f>"17:40:54.114"</f>
        <v>17:40:54.114</v>
      </c>
      <c r="CN43">
        <v>114343825</v>
      </c>
      <c r="CQ43">
        <v>0</v>
      </c>
      <c r="CR43">
        <v>4000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2</v>
      </c>
      <c r="DC43">
        <v>0</v>
      </c>
      <c r="DD43">
        <v>2</v>
      </c>
      <c r="DE43">
        <v>0</v>
      </c>
      <c r="DF43">
        <v>7</v>
      </c>
      <c r="DG43">
        <v>7</v>
      </c>
      <c r="DH43" t="s">
        <v>124</v>
      </c>
      <c r="DI43">
        <v>71</v>
      </c>
      <c r="DJ43">
        <v>1</v>
      </c>
      <c r="DK43" t="s">
        <v>134</v>
      </c>
      <c r="DL43" t="s">
        <v>135</v>
      </c>
      <c r="DO43">
        <v>11245085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</row>
    <row r="44" spans="1:131" x14ac:dyDescent="0.35">
      <c r="A44" s="2" t="str">
        <f>"17:40:55.301"</f>
        <v>17:40:55.301</v>
      </c>
      <c r="B44" s="4">
        <f t="shared" si="9"/>
        <v>63655.301000000007</v>
      </c>
      <c r="C44" s="4">
        <f t="shared" si="3"/>
        <v>55.301000000006752</v>
      </c>
      <c r="D44" s="3">
        <f t="shared" si="4"/>
        <v>0.73675116898148152</v>
      </c>
      <c r="E44" s="2">
        <f t="shared" si="5"/>
        <v>0.73675116898148152</v>
      </c>
      <c r="G44" t="str">
        <f t="shared" si="0"/>
        <v>FFDFD7C0</v>
      </c>
      <c r="H44" t="s">
        <v>126</v>
      </c>
      <c r="I44">
        <v>8</v>
      </c>
      <c r="J44">
        <v>1008</v>
      </c>
      <c r="K44" t="s">
        <v>129</v>
      </c>
      <c r="N44" t="s">
        <v>127</v>
      </c>
      <c r="O44">
        <v>0</v>
      </c>
      <c r="P44">
        <v>3</v>
      </c>
      <c r="Q44">
        <v>0</v>
      </c>
      <c r="R44">
        <v>2</v>
      </c>
      <c r="S44">
        <v>1</v>
      </c>
      <c r="T44">
        <v>0</v>
      </c>
      <c r="U44">
        <v>0</v>
      </c>
      <c r="W44" t="str">
        <f>"17:40:55.000"</f>
        <v>17:40:55.000</v>
      </c>
      <c r="X44" t="str">
        <f>"17:40:55.000"</f>
        <v>17:40:55.000</v>
      </c>
      <c r="Y44" t="str">
        <f t="shared" si="1"/>
        <v>A7C771</v>
      </c>
      <c r="Z44">
        <v>0</v>
      </c>
      <c r="AA44">
        <v>0</v>
      </c>
      <c r="AB44">
        <v>2</v>
      </c>
      <c r="AC44">
        <v>0</v>
      </c>
      <c r="AE44">
        <v>0</v>
      </c>
      <c r="AF44">
        <v>8</v>
      </c>
      <c r="AG44">
        <v>3</v>
      </c>
      <c r="AH44">
        <v>0</v>
      </c>
      <c r="AI44">
        <v>9</v>
      </c>
      <c r="AJ44" t="s">
        <v>125</v>
      </c>
      <c r="AK44">
        <v>0</v>
      </c>
      <c r="AL44">
        <v>3</v>
      </c>
      <c r="AM44">
        <v>2</v>
      </c>
      <c r="AN44">
        <v>1</v>
      </c>
      <c r="AO44" t="s">
        <v>222</v>
      </c>
      <c r="AP44">
        <v>42.755763999999999</v>
      </c>
      <c r="AQ44" t="s">
        <v>223</v>
      </c>
      <c r="AR44">
        <v>-77.707886999999999</v>
      </c>
      <c r="AS44">
        <v>25</v>
      </c>
      <c r="AT44">
        <v>3625</v>
      </c>
      <c r="AU44" t="s">
        <v>123</v>
      </c>
      <c r="AV44">
        <v>101</v>
      </c>
      <c r="AW44">
        <v>176</v>
      </c>
      <c r="AX44">
        <v>-128</v>
      </c>
      <c r="AZ44">
        <f t="shared" si="6"/>
        <v>10201</v>
      </c>
      <c r="BA44">
        <f t="shared" si="7"/>
        <v>30976</v>
      </c>
      <c r="BB44" s="1">
        <f t="shared" si="8"/>
        <v>202.92116695899421</v>
      </c>
      <c r="BJ44">
        <v>1404</v>
      </c>
      <c r="BK44">
        <v>1</v>
      </c>
      <c r="BL44" t="str">
        <f t="shared" si="2"/>
        <v xml:space="preserve">N600C   </v>
      </c>
      <c r="BM44">
        <v>2</v>
      </c>
      <c r="BO44">
        <v>0</v>
      </c>
      <c r="BP44">
        <v>0</v>
      </c>
      <c r="BQ44">
        <v>0</v>
      </c>
      <c r="BR44">
        <v>3725</v>
      </c>
      <c r="BS44">
        <v>100</v>
      </c>
      <c r="BT44" t="s">
        <v>128</v>
      </c>
      <c r="BU44">
        <v>0</v>
      </c>
      <c r="BV44">
        <v>0</v>
      </c>
      <c r="BW44">
        <v>0</v>
      </c>
      <c r="BX44">
        <v>1</v>
      </c>
      <c r="CA44">
        <v>0</v>
      </c>
      <c r="CB44">
        <v>0</v>
      </c>
      <c r="CC44">
        <v>0</v>
      </c>
      <c r="CM44" t="str">
        <f>"17:40:55.003"</f>
        <v>17:40:55.003</v>
      </c>
      <c r="CN44">
        <v>2509693</v>
      </c>
      <c r="CQ44">
        <v>0</v>
      </c>
      <c r="CR44">
        <v>4000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2</v>
      </c>
      <c r="DC44">
        <v>0</v>
      </c>
      <c r="DD44">
        <v>2</v>
      </c>
      <c r="DE44">
        <v>0</v>
      </c>
      <c r="DF44">
        <v>7</v>
      </c>
      <c r="DG44">
        <v>7</v>
      </c>
      <c r="DH44" t="s">
        <v>124</v>
      </c>
      <c r="DI44">
        <v>71</v>
      </c>
      <c r="DJ44">
        <v>1</v>
      </c>
      <c r="DK44" t="s">
        <v>134</v>
      </c>
      <c r="DL44" t="s">
        <v>135</v>
      </c>
      <c r="DO44">
        <v>11245841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</row>
    <row r="45" spans="1:131" x14ac:dyDescent="0.35">
      <c r="A45" s="2" t="str">
        <f>"17:40:56.129"</f>
        <v>17:40:56.129</v>
      </c>
      <c r="B45" s="4">
        <f t="shared" si="9"/>
        <v>63656.129000000001</v>
      </c>
      <c r="C45" s="4">
        <f t="shared" si="3"/>
        <v>56.129000000000815</v>
      </c>
      <c r="D45" s="3">
        <f t="shared" si="4"/>
        <v>0.73676075231481486</v>
      </c>
      <c r="E45" s="2">
        <f t="shared" si="5"/>
        <v>0.73676075231481486</v>
      </c>
      <c r="G45" t="str">
        <f t="shared" si="0"/>
        <v>FFDFD7C0</v>
      </c>
      <c r="H45" t="s">
        <v>126</v>
      </c>
      <c r="I45">
        <v>8</v>
      </c>
      <c r="J45">
        <v>1008</v>
      </c>
      <c r="K45" t="s">
        <v>129</v>
      </c>
      <c r="N45" t="s">
        <v>127</v>
      </c>
      <c r="O45">
        <v>0</v>
      </c>
      <c r="P45">
        <v>3</v>
      </c>
      <c r="Q45">
        <v>0</v>
      </c>
      <c r="R45">
        <v>2</v>
      </c>
      <c r="S45">
        <v>1</v>
      </c>
      <c r="T45">
        <v>0</v>
      </c>
      <c r="U45">
        <v>0</v>
      </c>
      <c r="W45" t="str">
        <f>"17:40:55.891"</f>
        <v>17:40:55.891</v>
      </c>
      <c r="X45" t="str">
        <f>"17:40:55.891"</f>
        <v>17:40:55.891</v>
      </c>
      <c r="Y45" t="str">
        <f t="shared" si="1"/>
        <v>A7C771</v>
      </c>
      <c r="Z45">
        <v>0</v>
      </c>
      <c r="AA45">
        <v>0</v>
      </c>
      <c r="AB45">
        <v>2</v>
      </c>
      <c r="AC45">
        <v>0</v>
      </c>
      <c r="AE45">
        <v>0</v>
      </c>
      <c r="AF45">
        <v>8</v>
      </c>
      <c r="AG45">
        <v>3</v>
      </c>
      <c r="AH45">
        <v>0</v>
      </c>
      <c r="AI45">
        <v>9</v>
      </c>
      <c r="AJ45" t="s">
        <v>125</v>
      </c>
      <c r="AK45">
        <v>0</v>
      </c>
      <c r="AL45">
        <v>3</v>
      </c>
      <c r="AM45">
        <v>2</v>
      </c>
      <c r="AN45">
        <v>1</v>
      </c>
      <c r="AO45" t="s">
        <v>224</v>
      </c>
      <c r="AP45">
        <v>42.756492999999999</v>
      </c>
      <c r="AQ45" t="s">
        <v>225</v>
      </c>
      <c r="AR45">
        <v>-77.707350000000005</v>
      </c>
      <c r="AS45">
        <v>25</v>
      </c>
      <c r="AT45">
        <v>3625</v>
      </c>
      <c r="AU45" t="s">
        <v>123</v>
      </c>
      <c r="AV45">
        <v>101</v>
      </c>
      <c r="AW45">
        <v>175</v>
      </c>
      <c r="AX45">
        <v>-192</v>
      </c>
      <c r="AZ45">
        <f t="shared" si="6"/>
        <v>10201</v>
      </c>
      <c r="BA45">
        <f t="shared" si="7"/>
        <v>30625</v>
      </c>
      <c r="BB45" s="1">
        <f t="shared" si="8"/>
        <v>202.05444810743464</v>
      </c>
      <c r="BJ45">
        <v>1404</v>
      </c>
      <c r="BK45">
        <v>1</v>
      </c>
      <c r="BL45" t="str">
        <f t="shared" si="2"/>
        <v xml:space="preserve">N600C   </v>
      </c>
      <c r="BM45">
        <v>2</v>
      </c>
      <c r="BO45">
        <v>0</v>
      </c>
      <c r="BP45">
        <v>0</v>
      </c>
      <c r="BQ45">
        <v>0</v>
      </c>
      <c r="BR45">
        <v>3725</v>
      </c>
      <c r="BS45">
        <v>100</v>
      </c>
      <c r="BT45" t="s">
        <v>128</v>
      </c>
      <c r="BU45">
        <v>0</v>
      </c>
      <c r="BV45">
        <v>0</v>
      </c>
      <c r="BW45">
        <v>0</v>
      </c>
      <c r="BX45">
        <v>1</v>
      </c>
      <c r="CA45">
        <v>0</v>
      </c>
      <c r="CB45">
        <v>0</v>
      </c>
      <c r="CC45">
        <v>0</v>
      </c>
      <c r="CM45" t="str">
        <f>"17:40:55.891"</f>
        <v>17:40:55.891</v>
      </c>
      <c r="CN45">
        <v>890673071</v>
      </c>
      <c r="CQ45">
        <v>0</v>
      </c>
      <c r="CR45">
        <v>4000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2</v>
      </c>
      <c r="DC45">
        <v>0</v>
      </c>
      <c r="DD45">
        <v>2</v>
      </c>
      <c r="DE45">
        <v>0</v>
      </c>
      <c r="DF45">
        <v>7</v>
      </c>
      <c r="DG45">
        <v>7</v>
      </c>
      <c r="DH45" t="s">
        <v>124</v>
      </c>
      <c r="DI45">
        <v>71</v>
      </c>
      <c r="DJ45">
        <v>2</v>
      </c>
      <c r="DK45" t="s">
        <v>134</v>
      </c>
      <c r="DL45" t="s">
        <v>135</v>
      </c>
      <c r="DO45">
        <v>733485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</row>
    <row r="46" spans="1:131" x14ac:dyDescent="0.35">
      <c r="A46" s="2" t="str">
        <f>"17:40:57.098"</f>
        <v>17:40:57.098</v>
      </c>
      <c r="B46" s="4">
        <f t="shared" si="9"/>
        <v>63657.097999999998</v>
      </c>
      <c r="C46" s="4">
        <f t="shared" si="3"/>
        <v>57.097999999998137</v>
      </c>
      <c r="D46" s="3">
        <f t="shared" si="4"/>
        <v>0.73677196759259256</v>
      </c>
      <c r="E46" s="2">
        <f t="shared" si="5"/>
        <v>0.73677196759259256</v>
      </c>
      <c r="G46" t="str">
        <f t="shared" si="0"/>
        <v>FFDFD7C0</v>
      </c>
      <c r="H46" t="s">
        <v>126</v>
      </c>
      <c r="I46">
        <v>8</v>
      </c>
      <c r="J46">
        <v>1008</v>
      </c>
      <c r="K46" t="s">
        <v>129</v>
      </c>
      <c r="N46" t="s">
        <v>127</v>
      </c>
      <c r="O46">
        <v>0</v>
      </c>
      <c r="P46">
        <v>3</v>
      </c>
      <c r="Q46">
        <v>0</v>
      </c>
      <c r="R46">
        <v>2</v>
      </c>
      <c r="S46">
        <v>1</v>
      </c>
      <c r="T46">
        <v>0</v>
      </c>
      <c r="U46">
        <v>0</v>
      </c>
      <c r="W46" t="str">
        <f>"17:40:56.844"</f>
        <v>17:40:56.844</v>
      </c>
      <c r="X46" t="str">
        <f>"17:40:56.844"</f>
        <v>17:40:56.844</v>
      </c>
      <c r="Y46" t="str">
        <f t="shared" si="1"/>
        <v>A7C771</v>
      </c>
      <c r="Z46">
        <v>0</v>
      </c>
      <c r="AA46">
        <v>0</v>
      </c>
      <c r="AB46">
        <v>2</v>
      </c>
      <c r="AC46">
        <v>0</v>
      </c>
      <c r="AE46">
        <v>0</v>
      </c>
      <c r="AF46">
        <v>8</v>
      </c>
      <c r="AG46">
        <v>3</v>
      </c>
      <c r="AH46">
        <v>0</v>
      </c>
      <c r="AI46">
        <v>9</v>
      </c>
      <c r="AJ46" t="s">
        <v>125</v>
      </c>
      <c r="AK46">
        <v>0</v>
      </c>
      <c r="AL46">
        <v>3</v>
      </c>
      <c r="AM46">
        <v>2</v>
      </c>
      <c r="AN46">
        <v>1</v>
      </c>
      <c r="AO46" t="s">
        <v>226</v>
      </c>
      <c r="AP46">
        <v>42.757201000000002</v>
      </c>
      <c r="AQ46" t="s">
        <v>227</v>
      </c>
      <c r="AR46">
        <v>-77.706749000000002</v>
      </c>
      <c r="AS46">
        <v>25</v>
      </c>
      <c r="AT46">
        <v>3625</v>
      </c>
      <c r="AU46" t="s">
        <v>123</v>
      </c>
      <c r="AV46">
        <v>101</v>
      </c>
      <c r="AW46">
        <v>174</v>
      </c>
      <c r="AX46">
        <v>-128</v>
      </c>
      <c r="AZ46">
        <f t="shared" si="6"/>
        <v>10201</v>
      </c>
      <c r="BA46">
        <f t="shared" si="7"/>
        <v>30276</v>
      </c>
      <c r="BB46" s="1">
        <f t="shared" si="8"/>
        <v>201.1889659002203</v>
      </c>
      <c r="BJ46">
        <v>1404</v>
      </c>
      <c r="BK46">
        <v>1</v>
      </c>
      <c r="BL46" t="str">
        <f t="shared" si="2"/>
        <v xml:space="preserve">N600C   </v>
      </c>
      <c r="BM46">
        <v>2</v>
      </c>
      <c r="BO46">
        <v>0</v>
      </c>
      <c r="BP46">
        <v>0</v>
      </c>
      <c r="BQ46">
        <v>0</v>
      </c>
      <c r="BR46">
        <v>3725</v>
      </c>
      <c r="BS46">
        <v>100</v>
      </c>
      <c r="BT46" t="s">
        <v>128</v>
      </c>
      <c r="BU46">
        <v>0</v>
      </c>
      <c r="BV46">
        <v>0</v>
      </c>
      <c r="BW46">
        <v>0</v>
      </c>
      <c r="BX46">
        <v>1</v>
      </c>
      <c r="CA46">
        <v>0</v>
      </c>
      <c r="CB46">
        <v>0</v>
      </c>
      <c r="CC46">
        <v>0</v>
      </c>
      <c r="CM46" t="str">
        <f>"17:40:56.851"</f>
        <v>17:40:56.851</v>
      </c>
      <c r="CN46">
        <v>850839438</v>
      </c>
      <c r="CQ46">
        <v>0</v>
      </c>
      <c r="CR46">
        <v>4000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2</v>
      </c>
      <c r="DC46">
        <v>0</v>
      </c>
      <c r="DD46">
        <v>2</v>
      </c>
      <c r="DE46">
        <v>0</v>
      </c>
      <c r="DF46">
        <v>7</v>
      </c>
      <c r="DG46">
        <v>7</v>
      </c>
      <c r="DH46" t="s">
        <v>124</v>
      </c>
      <c r="DI46">
        <v>71</v>
      </c>
      <c r="DJ46">
        <v>2</v>
      </c>
      <c r="DK46" t="s">
        <v>134</v>
      </c>
      <c r="DL46" t="s">
        <v>135</v>
      </c>
      <c r="DO46">
        <v>734384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</row>
    <row r="47" spans="1:131" x14ac:dyDescent="0.35">
      <c r="A47" s="2" t="str">
        <f>"17:40:58.193"</f>
        <v>17:40:58.193</v>
      </c>
      <c r="B47" s="4">
        <f t="shared" si="9"/>
        <v>63658.192999999999</v>
      </c>
      <c r="C47" s="4">
        <f t="shared" si="3"/>
        <v>58.192999999999302</v>
      </c>
      <c r="D47" s="3">
        <f t="shared" si="4"/>
        <v>0.73678464120370368</v>
      </c>
      <c r="E47" s="2">
        <f t="shared" si="5"/>
        <v>0.73678464120370368</v>
      </c>
      <c r="G47" t="str">
        <f t="shared" si="0"/>
        <v>FFDFD7C0</v>
      </c>
      <c r="H47" t="s">
        <v>126</v>
      </c>
      <c r="I47">
        <v>8</v>
      </c>
      <c r="J47">
        <v>1008</v>
      </c>
      <c r="K47" t="s">
        <v>129</v>
      </c>
      <c r="N47" t="s">
        <v>127</v>
      </c>
      <c r="O47">
        <v>0</v>
      </c>
      <c r="P47">
        <v>3</v>
      </c>
      <c r="Q47">
        <v>0</v>
      </c>
      <c r="R47">
        <v>2</v>
      </c>
      <c r="S47">
        <v>1</v>
      </c>
      <c r="T47">
        <v>0</v>
      </c>
      <c r="U47">
        <v>0</v>
      </c>
      <c r="W47" t="str">
        <f>"17:40:57.969"</f>
        <v>17:40:57.969</v>
      </c>
      <c r="X47" t="str">
        <f>"17:40:57.869"</f>
        <v>17:40:57.869</v>
      </c>
      <c r="Y47" t="str">
        <f t="shared" si="1"/>
        <v>A7C771</v>
      </c>
      <c r="Z47">
        <v>0</v>
      </c>
      <c r="AA47">
        <v>0</v>
      </c>
      <c r="AB47">
        <v>2</v>
      </c>
      <c r="AC47">
        <v>0</v>
      </c>
      <c r="AE47">
        <v>0</v>
      </c>
      <c r="AF47">
        <v>8</v>
      </c>
      <c r="AG47">
        <v>3</v>
      </c>
      <c r="AH47">
        <v>0</v>
      </c>
      <c r="AI47">
        <v>9</v>
      </c>
      <c r="AJ47" t="s">
        <v>125</v>
      </c>
      <c r="AK47">
        <v>0</v>
      </c>
      <c r="AL47">
        <v>3</v>
      </c>
      <c r="AM47">
        <v>2</v>
      </c>
      <c r="AN47">
        <v>1</v>
      </c>
      <c r="AO47" t="s">
        <v>228</v>
      </c>
      <c r="AP47">
        <v>42.758102000000001</v>
      </c>
      <c r="AQ47" t="s">
        <v>229</v>
      </c>
      <c r="AR47">
        <v>-77.706040999999999</v>
      </c>
      <c r="AS47">
        <v>25</v>
      </c>
      <c r="AT47">
        <v>3625</v>
      </c>
      <c r="AU47" t="s">
        <v>123</v>
      </c>
      <c r="AV47">
        <v>100</v>
      </c>
      <c r="AW47">
        <v>174</v>
      </c>
      <c r="AX47">
        <v>-128</v>
      </c>
      <c r="AZ47">
        <f t="shared" si="6"/>
        <v>10000</v>
      </c>
      <c r="BA47">
        <f t="shared" si="7"/>
        <v>30276</v>
      </c>
      <c r="BB47" s="1">
        <f t="shared" si="8"/>
        <v>200.68881383873889</v>
      </c>
      <c r="BJ47">
        <v>1404</v>
      </c>
      <c r="BK47">
        <v>1</v>
      </c>
      <c r="BL47" t="str">
        <f t="shared" si="2"/>
        <v xml:space="preserve">N600C   </v>
      </c>
      <c r="BM47">
        <v>2</v>
      </c>
      <c r="BO47">
        <v>0</v>
      </c>
      <c r="BP47">
        <v>0</v>
      </c>
      <c r="BQ47">
        <v>0</v>
      </c>
      <c r="BR47">
        <v>3725</v>
      </c>
      <c r="BS47">
        <v>100</v>
      </c>
      <c r="BT47" t="s">
        <v>128</v>
      </c>
      <c r="BU47">
        <v>0</v>
      </c>
      <c r="BV47">
        <v>0</v>
      </c>
      <c r="BW47">
        <v>0</v>
      </c>
      <c r="BX47">
        <v>1</v>
      </c>
      <c r="CA47">
        <v>0</v>
      </c>
      <c r="CB47">
        <v>0</v>
      </c>
      <c r="CC47">
        <v>0</v>
      </c>
      <c r="CM47" t="str">
        <f>"17:40:57.971"</f>
        <v>17:40:57.971</v>
      </c>
      <c r="CN47">
        <v>971052478</v>
      </c>
      <c r="CQ47">
        <v>0</v>
      </c>
      <c r="CR47">
        <v>4000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2</v>
      </c>
      <c r="DC47">
        <v>0</v>
      </c>
      <c r="DD47">
        <v>2</v>
      </c>
      <c r="DE47">
        <v>0</v>
      </c>
      <c r="DF47">
        <v>7</v>
      </c>
      <c r="DG47">
        <v>7</v>
      </c>
      <c r="DH47" t="s">
        <v>124</v>
      </c>
      <c r="DI47">
        <v>71</v>
      </c>
      <c r="DJ47">
        <v>1</v>
      </c>
      <c r="DK47" t="s">
        <v>134</v>
      </c>
      <c r="DL47" t="s">
        <v>135</v>
      </c>
      <c r="DO47">
        <v>11248337</v>
      </c>
      <c r="DQ47">
        <v>0</v>
      </c>
      <c r="DR47">
        <v>0</v>
      </c>
      <c r="DS47">
        <v>1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</row>
    <row r="48" spans="1:131" x14ac:dyDescent="0.35">
      <c r="A48" s="2" t="str">
        <f>"17:40:59.254"</f>
        <v>17:40:59.254</v>
      </c>
      <c r="B48" s="4">
        <f t="shared" si="9"/>
        <v>63659.253999999994</v>
      </c>
      <c r="C48" s="4">
        <f t="shared" si="3"/>
        <v>59.253999999993539</v>
      </c>
      <c r="D48" s="3">
        <f t="shared" si="4"/>
        <v>0.73679692129629626</v>
      </c>
      <c r="E48" s="2">
        <f t="shared" si="5"/>
        <v>0.73679692129629626</v>
      </c>
      <c r="G48" t="str">
        <f t="shared" si="0"/>
        <v>FFDFD7C0</v>
      </c>
      <c r="H48" t="s">
        <v>126</v>
      </c>
      <c r="I48">
        <v>8</v>
      </c>
      <c r="J48">
        <v>1008</v>
      </c>
      <c r="K48" t="s">
        <v>129</v>
      </c>
      <c r="N48" t="s">
        <v>127</v>
      </c>
      <c r="O48">
        <v>0</v>
      </c>
      <c r="P48">
        <v>3</v>
      </c>
      <c r="Q48">
        <v>0</v>
      </c>
      <c r="R48">
        <v>2</v>
      </c>
      <c r="S48">
        <v>1</v>
      </c>
      <c r="T48">
        <v>0</v>
      </c>
      <c r="U48">
        <v>0</v>
      </c>
      <c r="W48" t="str">
        <f>"17:40:58.984"</f>
        <v>17:40:58.984</v>
      </c>
      <c r="X48" t="str">
        <f>"17:40:58.984"</f>
        <v>17:40:58.984</v>
      </c>
      <c r="Y48" t="str">
        <f t="shared" si="1"/>
        <v>A7C771</v>
      </c>
      <c r="Z48">
        <v>0</v>
      </c>
      <c r="AA48">
        <v>0</v>
      </c>
      <c r="AB48">
        <v>2</v>
      </c>
      <c r="AC48">
        <v>0</v>
      </c>
      <c r="AE48">
        <v>0</v>
      </c>
      <c r="AF48">
        <v>8</v>
      </c>
      <c r="AG48">
        <v>3</v>
      </c>
      <c r="AH48">
        <v>0</v>
      </c>
      <c r="AI48">
        <v>9</v>
      </c>
      <c r="AJ48" t="s">
        <v>125</v>
      </c>
      <c r="AK48">
        <v>0</v>
      </c>
      <c r="AL48">
        <v>3</v>
      </c>
      <c r="AM48">
        <v>2</v>
      </c>
      <c r="AN48">
        <v>1</v>
      </c>
      <c r="AO48" t="s">
        <v>230</v>
      </c>
      <c r="AP48">
        <v>42.758875000000003</v>
      </c>
      <c r="AQ48" t="s">
        <v>231</v>
      </c>
      <c r="AR48">
        <v>-77.705483000000001</v>
      </c>
      <c r="AS48">
        <v>25</v>
      </c>
      <c r="AT48">
        <v>3600</v>
      </c>
      <c r="AU48" t="s">
        <v>123</v>
      </c>
      <c r="AV48">
        <v>100</v>
      </c>
      <c r="AW48">
        <v>173</v>
      </c>
      <c r="AX48">
        <v>-128</v>
      </c>
      <c r="AZ48">
        <f t="shared" si="6"/>
        <v>10000</v>
      </c>
      <c r="BA48">
        <f t="shared" si="7"/>
        <v>29929</v>
      </c>
      <c r="BB48" s="1">
        <f t="shared" si="8"/>
        <v>199.82242116439286</v>
      </c>
      <c r="BJ48">
        <v>1404</v>
      </c>
      <c r="BK48">
        <v>1</v>
      </c>
      <c r="BL48" t="str">
        <f t="shared" si="2"/>
        <v xml:space="preserve">N600C   </v>
      </c>
      <c r="BM48">
        <v>2</v>
      </c>
      <c r="BO48">
        <v>0</v>
      </c>
      <c r="BP48">
        <v>0</v>
      </c>
      <c r="BQ48">
        <v>0</v>
      </c>
      <c r="BR48">
        <v>3700</v>
      </c>
      <c r="BS48">
        <v>100</v>
      </c>
      <c r="BT48" t="s">
        <v>128</v>
      </c>
      <c r="BU48">
        <v>0</v>
      </c>
      <c r="BV48">
        <v>0</v>
      </c>
      <c r="BW48">
        <v>0</v>
      </c>
      <c r="BX48">
        <v>1</v>
      </c>
      <c r="CA48">
        <v>0</v>
      </c>
      <c r="CB48">
        <v>0</v>
      </c>
      <c r="CC48">
        <v>0</v>
      </c>
      <c r="CM48" t="str">
        <f>"17:40:58.987"</f>
        <v>17:40:58.987</v>
      </c>
      <c r="CN48">
        <v>987240400</v>
      </c>
      <c r="CQ48">
        <v>0</v>
      </c>
      <c r="CR48">
        <v>4000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2</v>
      </c>
      <c r="DC48">
        <v>0</v>
      </c>
      <c r="DD48">
        <v>2</v>
      </c>
      <c r="DE48">
        <v>0</v>
      </c>
      <c r="DF48">
        <v>7</v>
      </c>
      <c r="DG48">
        <v>7</v>
      </c>
      <c r="DH48" t="s">
        <v>124</v>
      </c>
      <c r="DI48">
        <v>71</v>
      </c>
      <c r="DJ48">
        <v>2</v>
      </c>
      <c r="DK48" t="s">
        <v>134</v>
      </c>
      <c r="DL48" t="s">
        <v>135</v>
      </c>
      <c r="DO48">
        <v>736409</v>
      </c>
      <c r="DQ48">
        <v>0</v>
      </c>
      <c r="DR48">
        <v>0</v>
      </c>
      <c r="DS48">
        <v>1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</row>
    <row r="49" spans="1:131" x14ac:dyDescent="0.35">
      <c r="A49" s="2" t="str">
        <f>"17:41:00.223"</f>
        <v>17:41:00.223</v>
      </c>
      <c r="B49" s="4">
        <f t="shared" si="9"/>
        <v>63660.222999999998</v>
      </c>
      <c r="C49" s="4">
        <f t="shared" si="3"/>
        <v>60.222999999998137</v>
      </c>
      <c r="D49" s="3">
        <f t="shared" si="4"/>
        <v>0.73680813657407407</v>
      </c>
      <c r="E49" s="2">
        <f t="shared" si="5"/>
        <v>0.73680813657407407</v>
      </c>
      <c r="G49" t="str">
        <f t="shared" si="0"/>
        <v>FFDFD7C0</v>
      </c>
      <c r="H49" t="s">
        <v>126</v>
      </c>
      <c r="I49">
        <v>8</v>
      </c>
      <c r="J49">
        <v>1008</v>
      </c>
      <c r="K49" t="s">
        <v>129</v>
      </c>
      <c r="N49" t="s">
        <v>127</v>
      </c>
      <c r="O49">
        <v>0</v>
      </c>
      <c r="P49">
        <v>3</v>
      </c>
      <c r="Q49">
        <v>0</v>
      </c>
      <c r="R49">
        <v>2</v>
      </c>
      <c r="S49">
        <v>1</v>
      </c>
      <c r="T49">
        <v>0</v>
      </c>
      <c r="U49">
        <v>0</v>
      </c>
      <c r="W49" t="str">
        <f>"17:40:59.992"</f>
        <v>17:40:59.992</v>
      </c>
      <c r="X49" t="str">
        <f>"17:40:59.992"</f>
        <v>17:40:59.992</v>
      </c>
      <c r="Y49" t="str">
        <f t="shared" si="1"/>
        <v>A7C771</v>
      </c>
      <c r="Z49">
        <v>0</v>
      </c>
      <c r="AA49">
        <v>0</v>
      </c>
      <c r="AB49">
        <v>2</v>
      </c>
      <c r="AC49">
        <v>0</v>
      </c>
      <c r="AE49">
        <v>0</v>
      </c>
      <c r="AF49">
        <v>8</v>
      </c>
      <c r="AG49">
        <v>3</v>
      </c>
      <c r="AH49">
        <v>0</v>
      </c>
      <c r="AI49">
        <v>9</v>
      </c>
      <c r="AJ49" t="s">
        <v>125</v>
      </c>
      <c r="AK49">
        <v>0</v>
      </c>
      <c r="AL49">
        <v>3</v>
      </c>
      <c r="AM49">
        <v>2</v>
      </c>
      <c r="AN49">
        <v>1</v>
      </c>
      <c r="AO49" t="s">
        <v>232</v>
      </c>
      <c r="AP49">
        <v>42.759776000000002</v>
      </c>
      <c r="AQ49" t="s">
        <v>233</v>
      </c>
      <c r="AR49">
        <v>-77.704774999999998</v>
      </c>
      <c r="AS49">
        <v>25</v>
      </c>
      <c r="AT49">
        <v>3600</v>
      </c>
      <c r="AU49" t="s">
        <v>123</v>
      </c>
      <c r="AV49">
        <v>99</v>
      </c>
      <c r="AW49">
        <v>172</v>
      </c>
      <c r="AX49">
        <v>-128</v>
      </c>
      <c r="AZ49">
        <f t="shared" si="6"/>
        <v>9801</v>
      </c>
      <c r="BA49">
        <f t="shared" si="7"/>
        <v>29584</v>
      </c>
      <c r="BB49" s="1">
        <f t="shared" si="8"/>
        <v>198.45654436173174</v>
      </c>
      <c r="BJ49">
        <v>1404</v>
      </c>
      <c r="BK49">
        <v>1</v>
      </c>
      <c r="BL49" t="str">
        <f t="shared" si="2"/>
        <v xml:space="preserve">N600C   </v>
      </c>
      <c r="BM49">
        <v>2</v>
      </c>
      <c r="BO49">
        <v>0</v>
      </c>
      <c r="BP49">
        <v>0</v>
      </c>
      <c r="BQ49">
        <v>0</v>
      </c>
      <c r="BR49">
        <v>3700</v>
      </c>
      <c r="BS49">
        <v>100</v>
      </c>
      <c r="BT49" t="s">
        <v>128</v>
      </c>
      <c r="BU49">
        <v>0</v>
      </c>
      <c r="BV49">
        <v>0</v>
      </c>
      <c r="BW49">
        <v>0</v>
      </c>
      <c r="BX49">
        <v>1</v>
      </c>
      <c r="CA49">
        <v>0</v>
      </c>
      <c r="CB49">
        <v>0</v>
      </c>
      <c r="CC49">
        <v>0</v>
      </c>
      <c r="CM49" t="str">
        <f>"17:40:59.995"</f>
        <v>17:40:59.995</v>
      </c>
      <c r="CN49">
        <v>995428691</v>
      </c>
      <c r="CQ49">
        <v>0</v>
      </c>
      <c r="CR49">
        <v>4000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2</v>
      </c>
      <c r="DC49">
        <v>0</v>
      </c>
      <c r="DD49">
        <v>2</v>
      </c>
      <c r="DE49">
        <v>0</v>
      </c>
      <c r="DF49">
        <v>7</v>
      </c>
      <c r="DG49">
        <v>7</v>
      </c>
      <c r="DH49" t="s">
        <v>124</v>
      </c>
      <c r="DI49">
        <v>71</v>
      </c>
      <c r="DJ49">
        <v>1</v>
      </c>
      <c r="DK49" t="s">
        <v>134</v>
      </c>
      <c r="DL49" t="s">
        <v>135</v>
      </c>
      <c r="DO49">
        <v>11250060</v>
      </c>
      <c r="DQ49">
        <v>0</v>
      </c>
      <c r="DR49">
        <v>0</v>
      </c>
      <c r="DS49">
        <v>1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</row>
    <row r="50" spans="1:131" x14ac:dyDescent="0.35">
      <c r="A50" s="2" t="str">
        <f>"17:41:01.370"</f>
        <v>17:41:01.370</v>
      </c>
      <c r="B50" s="4">
        <f t="shared" si="9"/>
        <v>63661.37</v>
      </c>
      <c r="C50" s="4">
        <f t="shared" si="3"/>
        <v>61.370000000002619</v>
      </c>
      <c r="D50" s="3">
        <f t="shared" si="4"/>
        <v>0.7368214120370371</v>
      </c>
      <c r="E50" s="2">
        <f t="shared" si="5"/>
        <v>0.7368214120370371</v>
      </c>
      <c r="G50" t="str">
        <f t="shared" si="0"/>
        <v>FFDFD7C0</v>
      </c>
      <c r="H50" t="s">
        <v>126</v>
      </c>
      <c r="I50">
        <v>8</v>
      </c>
      <c r="J50">
        <v>1008</v>
      </c>
      <c r="K50" t="s">
        <v>129</v>
      </c>
      <c r="N50" t="s">
        <v>127</v>
      </c>
      <c r="O50">
        <v>0</v>
      </c>
      <c r="P50">
        <v>3</v>
      </c>
      <c r="Q50">
        <v>0</v>
      </c>
      <c r="R50">
        <v>2</v>
      </c>
      <c r="S50">
        <v>1</v>
      </c>
      <c r="T50">
        <v>0</v>
      </c>
      <c r="U50">
        <v>0</v>
      </c>
      <c r="W50" t="str">
        <f>"17:41:01.102"</f>
        <v>17:41:01.102</v>
      </c>
      <c r="X50" t="str">
        <f>"17:41:01.102"</f>
        <v>17:41:01.102</v>
      </c>
      <c r="Y50" t="str">
        <f t="shared" si="1"/>
        <v>A7C771</v>
      </c>
      <c r="Z50">
        <v>0</v>
      </c>
      <c r="AA50">
        <v>0</v>
      </c>
      <c r="AB50">
        <v>2</v>
      </c>
      <c r="AC50">
        <v>0</v>
      </c>
      <c r="AE50">
        <v>0</v>
      </c>
      <c r="AF50">
        <v>8</v>
      </c>
      <c r="AG50">
        <v>3</v>
      </c>
      <c r="AH50">
        <v>0</v>
      </c>
      <c r="AI50">
        <v>9</v>
      </c>
      <c r="AJ50" t="s">
        <v>125</v>
      </c>
      <c r="AK50">
        <v>0</v>
      </c>
      <c r="AL50">
        <v>3</v>
      </c>
      <c r="AM50">
        <v>2</v>
      </c>
      <c r="AN50">
        <v>1</v>
      </c>
      <c r="AO50" t="s">
        <v>234</v>
      </c>
      <c r="AP50">
        <v>42.760612999999999</v>
      </c>
      <c r="AQ50" t="s">
        <v>235</v>
      </c>
      <c r="AR50">
        <v>-77.70411</v>
      </c>
      <c r="AS50">
        <v>25</v>
      </c>
      <c r="AT50">
        <v>3600</v>
      </c>
      <c r="AU50" t="s">
        <v>123</v>
      </c>
      <c r="AV50">
        <v>99</v>
      </c>
      <c r="AW50">
        <v>172</v>
      </c>
      <c r="AX50">
        <v>-128</v>
      </c>
      <c r="AZ50">
        <f t="shared" si="6"/>
        <v>9801</v>
      </c>
      <c r="BA50">
        <f t="shared" si="7"/>
        <v>29584</v>
      </c>
      <c r="BB50" s="1">
        <f t="shared" si="8"/>
        <v>198.45654436173174</v>
      </c>
      <c r="BJ50">
        <v>1404</v>
      </c>
      <c r="BK50">
        <v>1</v>
      </c>
      <c r="BL50" t="str">
        <f t="shared" si="2"/>
        <v xml:space="preserve">N600C   </v>
      </c>
      <c r="BM50">
        <v>2</v>
      </c>
      <c r="BO50">
        <v>0</v>
      </c>
      <c r="BP50">
        <v>0</v>
      </c>
      <c r="BQ50">
        <v>0</v>
      </c>
      <c r="BR50">
        <v>3700</v>
      </c>
      <c r="BS50">
        <v>100</v>
      </c>
      <c r="BT50" t="s">
        <v>128</v>
      </c>
      <c r="BU50">
        <v>0</v>
      </c>
      <c r="BV50">
        <v>0</v>
      </c>
      <c r="BW50">
        <v>0</v>
      </c>
      <c r="BX50">
        <v>1</v>
      </c>
      <c r="CA50">
        <v>0</v>
      </c>
      <c r="CB50">
        <v>0</v>
      </c>
      <c r="CC50">
        <v>0</v>
      </c>
      <c r="CM50" t="str">
        <f>"17:41:01.108"</f>
        <v>17:41:01.108</v>
      </c>
      <c r="CN50">
        <v>107629120</v>
      </c>
      <c r="CQ50">
        <v>0</v>
      </c>
      <c r="CR50">
        <v>4000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2</v>
      </c>
      <c r="DC50">
        <v>0</v>
      </c>
      <c r="DD50">
        <v>2</v>
      </c>
      <c r="DE50">
        <v>0</v>
      </c>
      <c r="DF50">
        <v>7</v>
      </c>
      <c r="DG50">
        <v>7</v>
      </c>
      <c r="DH50" t="s">
        <v>124</v>
      </c>
      <c r="DI50">
        <v>71</v>
      </c>
      <c r="DJ50">
        <v>1</v>
      </c>
      <c r="DK50" t="s">
        <v>134</v>
      </c>
      <c r="DL50" t="s">
        <v>135</v>
      </c>
      <c r="DO50">
        <v>11251101</v>
      </c>
      <c r="DQ50">
        <v>0</v>
      </c>
      <c r="DR50">
        <v>0</v>
      </c>
      <c r="DS50">
        <v>1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</row>
    <row r="51" spans="1:131" x14ac:dyDescent="0.35">
      <c r="A51" s="2" t="str">
        <f>"17:41:02.276"</f>
        <v>17:41:02.276</v>
      </c>
      <c r="B51" s="4">
        <f t="shared" si="9"/>
        <v>63662.275999999998</v>
      </c>
      <c r="C51" s="4">
        <f t="shared" si="3"/>
        <v>62.275999999998021</v>
      </c>
      <c r="D51" s="3">
        <f t="shared" si="4"/>
        <v>0.73683189814814809</v>
      </c>
      <c r="E51" s="2">
        <f t="shared" si="5"/>
        <v>0.73683189814814809</v>
      </c>
      <c r="G51" t="str">
        <f t="shared" si="0"/>
        <v>FFDFD7C0</v>
      </c>
      <c r="H51" t="s">
        <v>126</v>
      </c>
      <c r="I51">
        <v>8</v>
      </c>
      <c r="J51">
        <v>1008</v>
      </c>
      <c r="K51" t="s">
        <v>129</v>
      </c>
      <c r="N51" t="s">
        <v>127</v>
      </c>
      <c r="O51">
        <v>0</v>
      </c>
      <c r="P51">
        <v>3</v>
      </c>
      <c r="Q51">
        <v>0</v>
      </c>
      <c r="R51">
        <v>2</v>
      </c>
      <c r="S51">
        <v>1</v>
      </c>
      <c r="T51">
        <v>0</v>
      </c>
      <c r="U51">
        <v>0</v>
      </c>
      <c r="W51" t="str">
        <f>"17:41:02.078"</f>
        <v>17:41:02.078</v>
      </c>
      <c r="X51" t="str">
        <f>"17:41:01.678"</f>
        <v>17:41:01.678</v>
      </c>
      <c r="Y51" t="str">
        <f t="shared" si="1"/>
        <v>A7C771</v>
      </c>
      <c r="Z51">
        <v>0</v>
      </c>
      <c r="AA51">
        <v>0</v>
      </c>
      <c r="AB51">
        <v>2</v>
      </c>
      <c r="AC51">
        <v>0</v>
      </c>
      <c r="AE51">
        <v>0</v>
      </c>
      <c r="AF51">
        <v>8</v>
      </c>
      <c r="AG51">
        <v>3</v>
      </c>
      <c r="AH51">
        <v>0</v>
      </c>
      <c r="AI51">
        <v>9</v>
      </c>
      <c r="AJ51" t="s">
        <v>125</v>
      </c>
      <c r="AK51">
        <v>0</v>
      </c>
      <c r="AL51">
        <v>3</v>
      </c>
      <c r="AM51">
        <v>2</v>
      </c>
      <c r="AN51">
        <v>1</v>
      </c>
      <c r="AO51" t="s">
        <v>236</v>
      </c>
      <c r="AP51">
        <v>42.761342999999997</v>
      </c>
      <c r="AQ51" t="s">
        <v>237</v>
      </c>
      <c r="AR51">
        <v>-77.703552000000002</v>
      </c>
      <c r="AS51">
        <v>25</v>
      </c>
      <c r="AT51">
        <v>3600</v>
      </c>
      <c r="AU51" t="s">
        <v>123</v>
      </c>
      <c r="AV51">
        <v>98</v>
      </c>
      <c r="AW51">
        <v>171</v>
      </c>
      <c r="AX51">
        <v>-64</v>
      </c>
      <c r="AZ51">
        <f t="shared" si="6"/>
        <v>9604</v>
      </c>
      <c r="BA51">
        <f t="shared" si="7"/>
        <v>29241</v>
      </c>
      <c r="BB51" s="1">
        <f t="shared" si="8"/>
        <v>197.0913493789111</v>
      </c>
      <c r="BJ51">
        <v>1404</v>
      </c>
      <c r="BK51">
        <v>1</v>
      </c>
      <c r="BL51" t="str">
        <f t="shared" si="2"/>
        <v xml:space="preserve">N600C   </v>
      </c>
      <c r="BM51">
        <v>2</v>
      </c>
      <c r="BO51">
        <v>0</v>
      </c>
      <c r="BP51">
        <v>0</v>
      </c>
      <c r="BQ51">
        <v>0</v>
      </c>
      <c r="BR51">
        <v>3700</v>
      </c>
      <c r="BS51">
        <v>100</v>
      </c>
      <c r="BT51" t="s">
        <v>128</v>
      </c>
      <c r="BU51">
        <v>0</v>
      </c>
      <c r="BV51">
        <v>0</v>
      </c>
      <c r="BW51">
        <v>0</v>
      </c>
      <c r="BX51">
        <v>1</v>
      </c>
      <c r="CA51">
        <v>0</v>
      </c>
      <c r="CB51">
        <v>0</v>
      </c>
      <c r="CC51">
        <v>0</v>
      </c>
      <c r="CM51" t="str">
        <f>"17:41:02.084"</f>
        <v>17:41:02.084</v>
      </c>
      <c r="CN51">
        <v>83805340</v>
      </c>
      <c r="CQ51">
        <v>0</v>
      </c>
      <c r="CR51">
        <v>4000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2</v>
      </c>
      <c r="DC51">
        <v>0</v>
      </c>
      <c r="DD51">
        <v>2</v>
      </c>
      <c r="DE51">
        <v>0</v>
      </c>
      <c r="DF51">
        <v>7</v>
      </c>
      <c r="DG51">
        <v>7</v>
      </c>
      <c r="DH51" t="s">
        <v>124</v>
      </c>
      <c r="DI51">
        <v>71</v>
      </c>
      <c r="DJ51">
        <v>2</v>
      </c>
      <c r="DK51" t="s">
        <v>134</v>
      </c>
      <c r="DL51" t="s">
        <v>135</v>
      </c>
      <c r="DO51">
        <v>739287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</row>
    <row r="52" spans="1:131" x14ac:dyDescent="0.35">
      <c r="A52" s="2" t="str">
        <f>"17:41:03.293"</f>
        <v>17:41:03.293</v>
      </c>
      <c r="B52" s="4">
        <f t="shared" si="9"/>
        <v>63663.292999999998</v>
      </c>
      <c r="C52" s="4">
        <f t="shared" si="3"/>
        <v>63.292999999997846</v>
      </c>
      <c r="D52" s="3">
        <f t="shared" si="4"/>
        <v>0.73684366898148146</v>
      </c>
      <c r="E52" s="2">
        <f t="shared" si="5"/>
        <v>0.73684366898148146</v>
      </c>
      <c r="G52" t="str">
        <f t="shared" si="0"/>
        <v>FFDFD7C0</v>
      </c>
      <c r="H52" t="s">
        <v>126</v>
      </c>
      <c r="I52">
        <v>8</v>
      </c>
      <c r="J52">
        <v>1008</v>
      </c>
      <c r="K52" t="s">
        <v>129</v>
      </c>
      <c r="N52" t="s">
        <v>127</v>
      </c>
      <c r="O52">
        <v>0</v>
      </c>
      <c r="P52">
        <v>3</v>
      </c>
      <c r="Q52">
        <v>0</v>
      </c>
      <c r="R52">
        <v>2</v>
      </c>
      <c r="S52">
        <v>1</v>
      </c>
      <c r="T52">
        <v>0</v>
      </c>
      <c r="U52">
        <v>0</v>
      </c>
      <c r="W52" t="str">
        <f>"17:41:03.023"</f>
        <v>17:41:03.023</v>
      </c>
      <c r="X52" t="str">
        <f>"17:41:02.823"</f>
        <v>17:41:02.823</v>
      </c>
      <c r="Y52" t="str">
        <f t="shared" si="1"/>
        <v>A7C771</v>
      </c>
      <c r="Z52">
        <v>0</v>
      </c>
      <c r="AA52">
        <v>0</v>
      </c>
      <c r="AB52">
        <v>2</v>
      </c>
      <c r="AC52">
        <v>0</v>
      </c>
      <c r="AE52">
        <v>0</v>
      </c>
      <c r="AF52">
        <v>8</v>
      </c>
      <c r="AG52">
        <v>3</v>
      </c>
      <c r="AH52">
        <v>0</v>
      </c>
      <c r="AI52">
        <v>9</v>
      </c>
      <c r="AJ52" t="s">
        <v>125</v>
      </c>
      <c r="AK52">
        <v>0</v>
      </c>
      <c r="AL52">
        <v>3</v>
      </c>
      <c r="AM52">
        <v>2</v>
      </c>
      <c r="AN52">
        <v>1</v>
      </c>
      <c r="AO52" t="s">
        <v>238</v>
      </c>
      <c r="AP52">
        <v>42.762135999999998</v>
      </c>
      <c r="AQ52" t="s">
        <v>239</v>
      </c>
      <c r="AR52">
        <v>-77.702909000000005</v>
      </c>
      <c r="AS52">
        <v>25</v>
      </c>
      <c r="AT52">
        <v>3600</v>
      </c>
      <c r="AU52" t="s">
        <v>123</v>
      </c>
      <c r="AV52">
        <v>98</v>
      </c>
      <c r="AW52">
        <v>170</v>
      </c>
      <c r="AX52">
        <v>0</v>
      </c>
      <c r="AZ52">
        <f t="shared" si="6"/>
        <v>9604</v>
      </c>
      <c r="BA52">
        <f t="shared" si="7"/>
        <v>28900</v>
      </c>
      <c r="BB52" s="1">
        <f t="shared" si="8"/>
        <v>196.22436138257655</v>
      </c>
      <c r="BJ52">
        <v>1404</v>
      </c>
      <c r="BK52">
        <v>1</v>
      </c>
      <c r="BL52" t="str">
        <f t="shared" si="2"/>
        <v xml:space="preserve">N600C   </v>
      </c>
      <c r="BM52">
        <v>2</v>
      </c>
      <c r="BO52">
        <v>0</v>
      </c>
      <c r="BP52">
        <v>0</v>
      </c>
      <c r="BQ52">
        <v>0</v>
      </c>
      <c r="BR52">
        <v>3700</v>
      </c>
      <c r="BS52">
        <v>100</v>
      </c>
      <c r="BT52" t="s">
        <v>128</v>
      </c>
      <c r="BU52">
        <v>0</v>
      </c>
      <c r="BV52">
        <v>0</v>
      </c>
      <c r="BW52">
        <v>0</v>
      </c>
      <c r="BX52">
        <v>1</v>
      </c>
      <c r="CA52">
        <v>0</v>
      </c>
      <c r="CB52">
        <v>0</v>
      </c>
      <c r="CC52">
        <v>0</v>
      </c>
      <c r="CM52" t="str">
        <f>"17:41:03.028"</f>
        <v>17:41:03.028</v>
      </c>
      <c r="CN52">
        <v>27970317</v>
      </c>
      <c r="CQ52">
        <v>0</v>
      </c>
      <c r="CR52">
        <v>4000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2</v>
      </c>
      <c r="DC52">
        <v>0</v>
      </c>
      <c r="DD52">
        <v>2</v>
      </c>
      <c r="DE52">
        <v>0</v>
      </c>
      <c r="DF52">
        <v>7</v>
      </c>
      <c r="DG52">
        <v>7</v>
      </c>
      <c r="DH52" t="s">
        <v>124</v>
      </c>
      <c r="DI52">
        <v>71</v>
      </c>
      <c r="DJ52">
        <v>2</v>
      </c>
      <c r="DK52" t="s">
        <v>134</v>
      </c>
      <c r="DL52" t="s">
        <v>135</v>
      </c>
      <c r="DO52">
        <v>740138</v>
      </c>
      <c r="DQ52">
        <v>0</v>
      </c>
      <c r="DR52">
        <v>0</v>
      </c>
      <c r="DS52">
        <v>1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</row>
    <row r="53" spans="1:131" x14ac:dyDescent="0.35">
      <c r="A53" s="2" t="str">
        <f>"17:41:04.442"</f>
        <v>17:41:04.442</v>
      </c>
      <c r="B53" s="4">
        <f t="shared" si="9"/>
        <v>63664.44200000001</v>
      </c>
      <c r="C53" s="4">
        <f t="shared" si="3"/>
        <v>64.442000000010012</v>
      </c>
      <c r="D53" s="3">
        <f t="shared" si="4"/>
        <v>0.73685696759259267</v>
      </c>
      <c r="E53" s="2">
        <f t="shared" si="5"/>
        <v>0.73685696759259267</v>
      </c>
      <c r="G53" t="str">
        <f t="shared" si="0"/>
        <v>FFDFD7C0</v>
      </c>
      <c r="H53" t="s">
        <v>126</v>
      </c>
      <c r="I53">
        <v>8</v>
      </c>
      <c r="J53">
        <v>1008</v>
      </c>
      <c r="K53" t="s">
        <v>129</v>
      </c>
      <c r="N53" t="s">
        <v>127</v>
      </c>
      <c r="O53">
        <v>0</v>
      </c>
      <c r="P53">
        <v>3</v>
      </c>
      <c r="Q53">
        <v>0</v>
      </c>
      <c r="R53">
        <v>2</v>
      </c>
      <c r="S53">
        <v>1</v>
      </c>
      <c r="T53">
        <v>0</v>
      </c>
      <c r="U53">
        <v>0</v>
      </c>
      <c r="W53" t="str">
        <f>"17:41:04.055"</f>
        <v>17:41:04.055</v>
      </c>
      <c r="X53" t="str">
        <f>"17:41:03.855"</f>
        <v>17:41:03.855</v>
      </c>
      <c r="Y53" t="str">
        <f t="shared" si="1"/>
        <v>A7C771</v>
      </c>
      <c r="Z53">
        <v>0</v>
      </c>
      <c r="AA53">
        <v>0</v>
      </c>
      <c r="AB53">
        <v>2</v>
      </c>
      <c r="AC53">
        <v>0</v>
      </c>
      <c r="AE53">
        <v>0</v>
      </c>
      <c r="AF53">
        <v>8</v>
      </c>
      <c r="AG53">
        <v>3</v>
      </c>
      <c r="AH53">
        <v>0</v>
      </c>
      <c r="AI53">
        <v>9</v>
      </c>
      <c r="AJ53" t="s">
        <v>125</v>
      </c>
      <c r="AK53">
        <v>0</v>
      </c>
      <c r="AL53">
        <v>3</v>
      </c>
      <c r="AM53">
        <v>2</v>
      </c>
      <c r="AN53">
        <v>1</v>
      </c>
      <c r="AO53" t="s">
        <v>240</v>
      </c>
      <c r="AP53">
        <v>42.762929999999997</v>
      </c>
      <c r="AQ53" t="s">
        <v>241</v>
      </c>
      <c r="AR53">
        <v>-77.702329000000006</v>
      </c>
      <c r="AS53">
        <v>25</v>
      </c>
      <c r="AT53">
        <v>3600</v>
      </c>
      <c r="AU53" t="s">
        <v>123</v>
      </c>
      <c r="AV53">
        <v>97</v>
      </c>
      <c r="AW53">
        <v>170</v>
      </c>
      <c r="AX53">
        <v>0</v>
      </c>
      <c r="AZ53">
        <f t="shared" si="6"/>
        <v>9409</v>
      </c>
      <c r="BA53">
        <f t="shared" si="7"/>
        <v>28900</v>
      </c>
      <c r="BB53" s="1">
        <f t="shared" si="8"/>
        <v>195.72685048301369</v>
      </c>
      <c r="BJ53">
        <v>1404</v>
      </c>
      <c r="BK53">
        <v>1</v>
      </c>
      <c r="BL53" t="str">
        <f t="shared" si="2"/>
        <v xml:space="preserve">N600C   </v>
      </c>
      <c r="BM53">
        <v>2</v>
      </c>
      <c r="BO53">
        <v>0</v>
      </c>
      <c r="BP53">
        <v>0</v>
      </c>
      <c r="BQ53">
        <v>0</v>
      </c>
      <c r="BR53">
        <v>3700</v>
      </c>
      <c r="BS53">
        <v>100</v>
      </c>
      <c r="BT53" t="s">
        <v>128</v>
      </c>
      <c r="BU53">
        <v>0</v>
      </c>
      <c r="BV53">
        <v>0</v>
      </c>
      <c r="BW53">
        <v>0</v>
      </c>
      <c r="BX53">
        <v>1</v>
      </c>
      <c r="CA53">
        <v>0.04</v>
      </c>
      <c r="CB53">
        <v>0</v>
      </c>
      <c r="CC53">
        <v>0</v>
      </c>
      <c r="CM53" t="str">
        <f>"17:41:04.060"</f>
        <v>17:41:04.060</v>
      </c>
      <c r="CN53">
        <v>60161031</v>
      </c>
      <c r="CQ53">
        <v>0</v>
      </c>
      <c r="CR53">
        <v>4000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2</v>
      </c>
      <c r="DC53">
        <v>0</v>
      </c>
      <c r="DD53">
        <v>2</v>
      </c>
      <c r="DE53">
        <v>0</v>
      </c>
      <c r="DF53">
        <v>7</v>
      </c>
      <c r="DG53">
        <v>7</v>
      </c>
      <c r="DH53" t="s">
        <v>124</v>
      </c>
      <c r="DI53">
        <v>71</v>
      </c>
      <c r="DJ53">
        <v>2</v>
      </c>
      <c r="DK53" t="s">
        <v>134</v>
      </c>
      <c r="DL53" t="s">
        <v>135</v>
      </c>
      <c r="DO53">
        <v>741211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</row>
    <row r="54" spans="1:131" x14ac:dyDescent="0.35">
      <c r="A54" s="2" t="str">
        <f>"17:41:05.296"</f>
        <v>17:41:05.296</v>
      </c>
      <c r="B54" s="4">
        <f t="shared" si="9"/>
        <v>63665.296000000002</v>
      </c>
      <c r="C54" s="4">
        <f t="shared" si="3"/>
        <v>65.296000000002095</v>
      </c>
      <c r="D54" s="3">
        <f t="shared" si="4"/>
        <v>0.73686685185185186</v>
      </c>
      <c r="E54" s="2">
        <f t="shared" si="5"/>
        <v>0.73686685185185186</v>
      </c>
      <c r="G54" t="str">
        <f t="shared" si="0"/>
        <v>FFDFD7C0</v>
      </c>
      <c r="H54" t="s">
        <v>126</v>
      </c>
      <c r="I54">
        <v>8</v>
      </c>
      <c r="J54">
        <v>1008</v>
      </c>
      <c r="K54" t="s">
        <v>129</v>
      </c>
      <c r="N54" t="s">
        <v>127</v>
      </c>
      <c r="O54">
        <v>0</v>
      </c>
      <c r="P54">
        <v>3</v>
      </c>
      <c r="Q54">
        <v>0</v>
      </c>
      <c r="R54">
        <v>2</v>
      </c>
      <c r="S54">
        <v>1</v>
      </c>
      <c r="T54">
        <v>0</v>
      </c>
      <c r="U54">
        <v>0</v>
      </c>
      <c r="W54" t="str">
        <f>"17:41:05.055"</f>
        <v>17:41:05.055</v>
      </c>
      <c r="X54" t="str">
        <f>"17:41:04.955"</f>
        <v>17:41:04.955</v>
      </c>
      <c r="Y54" t="str">
        <f t="shared" si="1"/>
        <v>A7C771</v>
      </c>
      <c r="Z54">
        <v>0</v>
      </c>
      <c r="AA54">
        <v>0</v>
      </c>
      <c r="AB54">
        <v>2</v>
      </c>
      <c r="AC54">
        <v>0</v>
      </c>
      <c r="AE54">
        <v>0</v>
      </c>
      <c r="AF54">
        <v>8</v>
      </c>
      <c r="AG54">
        <v>3</v>
      </c>
      <c r="AH54">
        <v>0</v>
      </c>
      <c r="AI54">
        <v>9</v>
      </c>
      <c r="AJ54" t="s">
        <v>125</v>
      </c>
      <c r="AK54">
        <v>0</v>
      </c>
      <c r="AL54">
        <v>3</v>
      </c>
      <c r="AM54">
        <v>2</v>
      </c>
      <c r="AN54">
        <v>1</v>
      </c>
      <c r="AO54" t="s">
        <v>242</v>
      </c>
      <c r="AP54">
        <v>42.763680999999998</v>
      </c>
      <c r="AQ54" t="s">
        <v>243</v>
      </c>
      <c r="AR54">
        <v>-77.701706999999999</v>
      </c>
      <c r="AS54">
        <v>25</v>
      </c>
      <c r="AT54">
        <v>3600</v>
      </c>
      <c r="AU54" t="s">
        <v>123</v>
      </c>
      <c r="AV54">
        <v>97</v>
      </c>
      <c r="AW54">
        <v>169</v>
      </c>
      <c r="AX54">
        <v>0</v>
      </c>
      <c r="AZ54">
        <f t="shared" si="6"/>
        <v>9409</v>
      </c>
      <c r="BA54">
        <f t="shared" si="7"/>
        <v>28561</v>
      </c>
      <c r="BB54" s="1">
        <f t="shared" si="8"/>
        <v>194.85892332659543</v>
      </c>
      <c r="BJ54">
        <v>1404</v>
      </c>
      <c r="BK54">
        <v>1</v>
      </c>
      <c r="BL54" t="str">
        <f t="shared" si="2"/>
        <v xml:space="preserve">N600C   </v>
      </c>
      <c r="BM54">
        <v>2</v>
      </c>
      <c r="BO54">
        <v>0</v>
      </c>
      <c r="BP54">
        <v>0</v>
      </c>
      <c r="BQ54">
        <v>0</v>
      </c>
      <c r="BR54">
        <v>3700</v>
      </c>
      <c r="BS54">
        <v>100</v>
      </c>
      <c r="BT54" t="s">
        <v>128</v>
      </c>
      <c r="BU54">
        <v>0</v>
      </c>
      <c r="BV54">
        <v>0</v>
      </c>
      <c r="BW54">
        <v>0</v>
      </c>
      <c r="BX54">
        <v>1</v>
      </c>
      <c r="CA54">
        <v>0</v>
      </c>
      <c r="CB54">
        <v>0</v>
      </c>
      <c r="CC54">
        <v>0</v>
      </c>
      <c r="CM54" t="str">
        <f>"17:41:05.060"</f>
        <v>17:41:05.060</v>
      </c>
      <c r="CN54">
        <v>60349666</v>
      </c>
      <c r="CQ54">
        <v>0</v>
      </c>
      <c r="CR54">
        <v>4000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2</v>
      </c>
      <c r="DC54">
        <v>0</v>
      </c>
      <c r="DD54">
        <v>2</v>
      </c>
      <c r="DE54">
        <v>0</v>
      </c>
      <c r="DF54">
        <v>7</v>
      </c>
      <c r="DG54">
        <v>7</v>
      </c>
      <c r="DH54" t="s">
        <v>124</v>
      </c>
      <c r="DI54">
        <v>71</v>
      </c>
      <c r="DJ54">
        <v>2</v>
      </c>
      <c r="DK54" t="s">
        <v>134</v>
      </c>
      <c r="DL54" t="s">
        <v>135</v>
      </c>
      <c r="DO54">
        <v>742127</v>
      </c>
      <c r="DQ54">
        <v>0</v>
      </c>
      <c r="DR54">
        <v>0</v>
      </c>
      <c r="DS54">
        <v>1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</row>
    <row r="55" spans="1:131" x14ac:dyDescent="0.35">
      <c r="A55" s="2" t="str">
        <f>"17:41:06.396"</f>
        <v>17:41:06.396</v>
      </c>
      <c r="B55" s="4">
        <f t="shared" si="9"/>
        <v>63666.396000000001</v>
      </c>
      <c r="C55" s="4">
        <f t="shared" si="3"/>
        <v>66.39600000000064</v>
      </c>
      <c r="D55" s="3">
        <f t="shared" si="4"/>
        <v>0.73687958333333337</v>
      </c>
      <c r="E55" s="2">
        <f t="shared" si="5"/>
        <v>0.73687958333333337</v>
      </c>
      <c r="G55" t="str">
        <f t="shared" si="0"/>
        <v>FFDFD7C0</v>
      </c>
      <c r="H55" t="s">
        <v>126</v>
      </c>
      <c r="I55">
        <v>8</v>
      </c>
      <c r="J55">
        <v>1008</v>
      </c>
      <c r="K55" t="s">
        <v>129</v>
      </c>
      <c r="N55" t="s">
        <v>127</v>
      </c>
      <c r="O55">
        <v>0</v>
      </c>
      <c r="P55">
        <v>3</v>
      </c>
      <c r="Q55">
        <v>0</v>
      </c>
      <c r="R55">
        <v>2</v>
      </c>
      <c r="S55">
        <v>1</v>
      </c>
      <c r="T55">
        <v>0</v>
      </c>
      <c r="U55">
        <v>0</v>
      </c>
      <c r="W55" t="str">
        <f>"17:41:05.992"</f>
        <v>17:41:05.992</v>
      </c>
      <c r="X55" t="str">
        <f>"17:41:05.592"</f>
        <v>17:41:05.592</v>
      </c>
      <c r="Y55" t="str">
        <f t="shared" si="1"/>
        <v>A7C771</v>
      </c>
      <c r="Z55">
        <v>0</v>
      </c>
      <c r="AA55">
        <v>0</v>
      </c>
      <c r="AB55">
        <v>2</v>
      </c>
      <c r="AC55">
        <v>0</v>
      </c>
      <c r="AE55">
        <v>0</v>
      </c>
      <c r="AF55">
        <v>8</v>
      </c>
      <c r="AG55">
        <v>3</v>
      </c>
      <c r="AH55">
        <v>0</v>
      </c>
      <c r="AI55">
        <v>9</v>
      </c>
      <c r="AJ55" t="s">
        <v>125</v>
      </c>
      <c r="AK55">
        <v>0</v>
      </c>
      <c r="AL55">
        <v>3</v>
      </c>
      <c r="AM55">
        <v>2</v>
      </c>
      <c r="AN55">
        <v>1</v>
      </c>
      <c r="AO55" t="s">
        <v>244</v>
      </c>
      <c r="AP55">
        <v>42.764474999999997</v>
      </c>
      <c r="AQ55" t="s">
        <v>245</v>
      </c>
      <c r="AR55">
        <v>-77.701127999999997</v>
      </c>
      <c r="AS55">
        <v>25</v>
      </c>
      <c r="AT55">
        <v>3600</v>
      </c>
      <c r="AU55" t="s">
        <v>123</v>
      </c>
      <c r="AV55">
        <v>96</v>
      </c>
      <c r="AW55">
        <v>168</v>
      </c>
      <c r="AX55">
        <v>0</v>
      </c>
      <c r="AZ55">
        <f t="shared" si="6"/>
        <v>9216</v>
      </c>
      <c r="BA55">
        <f t="shared" si="7"/>
        <v>28224</v>
      </c>
      <c r="BB55" s="1">
        <f t="shared" si="8"/>
        <v>193.49418595916518</v>
      </c>
      <c r="BJ55">
        <v>1404</v>
      </c>
      <c r="BK55">
        <v>1</v>
      </c>
      <c r="BL55" t="str">
        <f t="shared" si="2"/>
        <v xml:space="preserve">N600C   </v>
      </c>
      <c r="BM55">
        <v>2</v>
      </c>
      <c r="BO55">
        <v>0</v>
      </c>
      <c r="BP55">
        <v>0</v>
      </c>
      <c r="BQ55">
        <v>0</v>
      </c>
      <c r="BR55">
        <v>3700</v>
      </c>
      <c r="BS55">
        <v>100</v>
      </c>
      <c r="BT55" t="s">
        <v>128</v>
      </c>
      <c r="BU55">
        <v>0</v>
      </c>
      <c r="BV55">
        <v>0</v>
      </c>
      <c r="BW55">
        <v>0</v>
      </c>
      <c r="BX55">
        <v>1</v>
      </c>
      <c r="CA55">
        <v>0</v>
      </c>
      <c r="CB55">
        <v>0</v>
      </c>
      <c r="CC55">
        <v>0</v>
      </c>
      <c r="CM55" t="str">
        <f>"17:41:05.997"</f>
        <v>17:41:05.997</v>
      </c>
      <c r="CN55">
        <v>996520469</v>
      </c>
      <c r="CQ55">
        <v>0</v>
      </c>
      <c r="CR55">
        <v>4000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2</v>
      </c>
      <c r="DC55">
        <v>0</v>
      </c>
      <c r="DD55">
        <v>2</v>
      </c>
      <c r="DE55">
        <v>0</v>
      </c>
      <c r="DF55">
        <v>7</v>
      </c>
      <c r="DG55">
        <v>7</v>
      </c>
      <c r="DH55" t="s">
        <v>124</v>
      </c>
      <c r="DI55">
        <v>71</v>
      </c>
      <c r="DJ55">
        <v>2</v>
      </c>
      <c r="DK55" t="s">
        <v>134</v>
      </c>
      <c r="DL55" t="s">
        <v>135</v>
      </c>
      <c r="DO55">
        <v>742949</v>
      </c>
      <c r="DQ55">
        <v>0</v>
      </c>
      <c r="DR55">
        <v>0</v>
      </c>
      <c r="DS55">
        <v>1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</row>
    <row r="56" spans="1:131" x14ac:dyDescent="0.35">
      <c r="A56" s="2" t="str">
        <f>"17:41:07.099"</f>
        <v>17:41:07.099</v>
      </c>
      <c r="B56" s="4">
        <f t="shared" si="9"/>
        <v>63667.099000000002</v>
      </c>
      <c r="C56" s="4">
        <f t="shared" si="3"/>
        <v>67.099000000001979</v>
      </c>
      <c r="D56" s="3">
        <f t="shared" si="4"/>
        <v>0.73688771990740742</v>
      </c>
      <c r="E56" s="2">
        <f t="shared" si="5"/>
        <v>0.73688771990740742</v>
      </c>
      <c r="G56" t="str">
        <f t="shared" si="0"/>
        <v>FFDFD7C0</v>
      </c>
      <c r="H56" t="s">
        <v>126</v>
      </c>
      <c r="I56">
        <v>8</v>
      </c>
      <c r="J56">
        <v>1008</v>
      </c>
      <c r="K56" t="s">
        <v>129</v>
      </c>
      <c r="N56" t="s">
        <v>127</v>
      </c>
      <c r="O56">
        <v>0</v>
      </c>
      <c r="P56">
        <v>3</v>
      </c>
      <c r="Q56">
        <v>0</v>
      </c>
      <c r="R56">
        <v>2</v>
      </c>
      <c r="S56">
        <v>1</v>
      </c>
      <c r="T56">
        <v>0</v>
      </c>
      <c r="U56">
        <v>0</v>
      </c>
      <c r="W56" t="str">
        <f>"17:41:06.875"</f>
        <v>17:41:06.875</v>
      </c>
      <c r="X56" t="str">
        <f>"17:41:06.575"</f>
        <v>17:41:06.575</v>
      </c>
      <c r="Y56" t="str">
        <f t="shared" si="1"/>
        <v>A7C771</v>
      </c>
      <c r="Z56">
        <v>0</v>
      </c>
      <c r="AA56">
        <v>0</v>
      </c>
      <c r="AB56">
        <v>2</v>
      </c>
      <c r="AC56">
        <v>0</v>
      </c>
      <c r="AE56">
        <v>0</v>
      </c>
      <c r="AF56">
        <v>8</v>
      </c>
      <c r="AG56">
        <v>3</v>
      </c>
      <c r="AH56">
        <v>0</v>
      </c>
      <c r="AI56">
        <v>9</v>
      </c>
      <c r="AJ56" t="s">
        <v>125</v>
      </c>
      <c r="AK56">
        <v>0</v>
      </c>
      <c r="AL56">
        <v>3</v>
      </c>
      <c r="AM56">
        <v>2</v>
      </c>
      <c r="AN56">
        <v>1</v>
      </c>
      <c r="AO56" t="s">
        <v>246</v>
      </c>
      <c r="AP56">
        <v>42.765076000000001</v>
      </c>
      <c r="AQ56" t="s">
        <v>247</v>
      </c>
      <c r="AR56">
        <v>-77.700613000000004</v>
      </c>
      <c r="AS56">
        <v>25</v>
      </c>
      <c r="AT56">
        <v>3600</v>
      </c>
      <c r="AU56" t="s">
        <v>123</v>
      </c>
      <c r="AV56">
        <v>96</v>
      </c>
      <c r="AW56">
        <v>167</v>
      </c>
      <c r="AX56">
        <v>0</v>
      </c>
      <c r="AZ56">
        <f t="shared" si="6"/>
        <v>9216</v>
      </c>
      <c r="BA56">
        <f t="shared" si="7"/>
        <v>27889</v>
      </c>
      <c r="BB56" s="1">
        <f t="shared" si="8"/>
        <v>192.62658175859323</v>
      </c>
      <c r="BJ56">
        <v>1404</v>
      </c>
      <c r="BK56">
        <v>1</v>
      </c>
      <c r="BL56" t="str">
        <f t="shared" si="2"/>
        <v xml:space="preserve">N600C   </v>
      </c>
      <c r="BM56">
        <v>2</v>
      </c>
      <c r="BO56">
        <v>0</v>
      </c>
      <c r="BP56">
        <v>0</v>
      </c>
      <c r="BQ56">
        <v>0</v>
      </c>
      <c r="BR56">
        <v>3700</v>
      </c>
      <c r="BS56">
        <v>100</v>
      </c>
      <c r="BT56" t="s">
        <v>128</v>
      </c>
      <c r="BU56">
        <v>0</v>
      </c>
      <c r="BV56">
        <v>0</v>
      </c>
      <c r="BW56">
        <v>0</v>
      </c>
      <c r="BX56">
        <v>1</v>
      </c>
      <c r="CA56">
        <v>0</v>
      </c>
      <c r="CB56">
        <v>0</v>
      </c>
      <c r="CC56">
        <v>0</v>
      </c>
      <c r="CM56" t="str">
        <f>"17:41:06.877"</f>
        <v>17:41:06.877</v>
      </c>
      <c r="CN56">
        <v>876688881</v>
      </c>
      <c r="CQ56">
        <v>0</v>
      </c>
      <c r="CR56">
        <v>4000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2</v>
      </c>
      <c r="DC56">
        <v>0</v>
      </c>
      <c r="DD56">
        <v>2</v>
      </c>
      <c r="DE56">
        <v>0</v>
      </c>
      <c r="DF56">
        <v>7</v>
      </c>
      <c r="DG56">
        <v>7</v>
      </c>
      <c r="DH56" t="s">
        <v>124</v>
      </c>
      <c r="DI56">
        <v>71</v>
      </c>
      <c r="DJ56">
        <v>2</v>
      </c>
      <c r="DK56" t="s">
        <v>134</v>
      </c>
      <c r="DL56" t="s">
        <v>135</v>
      </c>
      <c r="DO56">
        <v>743759</v>
      </c>
      <c r="DQ56">
        <v>0</v>
      </c>
      <c r="DR56">
        <v>0</v>
      </c>
      <c r="DS56">
        <v>1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</row>
    <row r="57" spans="1:131" x14ac:dyDescent="0.35">
      <c r="A57" s="2" t="str">
        <f>"17:41:08.184"</f>
        <v>17:41:08.184</v>
      </c>
      <c r="B57" s="4">
        <f t="shared" si="9"/>
        <v>63668.184000000001</v>
      </c>
      <c r="C57" s="4">
        <f t="shared" si="3"/>
        <v>68.184000000001106</v>
      </c>
      <c r="D57" s="3">
        <f t="shared" si="4"/>
        <v>0.73690027777777778</v>
      </c>
      <c r="E57" s="2">
        <f t="shared" si="5"/>
        <v>0.73690027777777778</v>
      </c>
      <c r="G57" t="str">
        <f t="shared" si="0"/>
        <v>FFDFD7C0</v>
      </c>
      <c r="H57" t="s">
        <v>126</v>
      </c>
      <c r="I57">
        <v>8</v>
      </c>
      <c r="J57">
        <v>1008</v>
      </c>
      <c r="K57" t="s">
        <v>129</v>
      </c>
      <c r="N57" t="s">
        <v>127</v>
      </c>
      <c r="O57">
        <v>0</v>
      </c>
      <c r="P57">
        <v>3</v>
      </c>
      <c r="Q57">
        <v>0</v>
      </c>
      <c r="R57">
        <v>2</v>
      </c>
      <c r="S57">
        <v>1</v>
      </c>
      <c r="T57">
        <v>0</v>
      </c>
      <c r="U57">
        <v>0</v>
      </c>
      <c r="W57" t="str">
        <f>"17:41:07.891"</f>
        <v>17:41:07.891</v>
      </c>
      <c r="X57" t="str">
        <f>"17:41:07.691"</f>
        <v>17:41:07.691</v>
      </c>
      <c r="Y57" t="str">
        <f t="shared" si="1"/>
        <v>A7C771</v>
      </c>
      <c r="Z57">
        <v>0</v>
      </c>
      <c r="AA57">
        <v>0</v>
      </c>
      <c r="AB57">
        <v>2</v>
      </c>
      <c r="AC57">
        <v>0</v>
      </c>
      <c r="AE57">
        <v>0</v>
      </c>
      <c r="AF57">
        <v>8</v>
      </c>
      <c r="AG57">
        <v>3</v>
      </c>
      <c r="AH57">
        <v>0</v>
      </c>
      <c r="AI57">
        <v>9</v>
      </c>
      <c r="AJ57" t="s">
        <v>125</v>
      </c>
      <c r="AK57">
        <v>0</v>
      </c>
      <c r="AL57">
        <v>3</v>
      </c>
      <c r="AM57">
        <v>2</v>
      </c>
      <c r="AN57">
        <v>1</v>
      </c>
      <c r="AO57" t="s">
        <v>248</v>
      </c>
      <c r="AP57">
        <v>42.765934000000001</v>
      </c>
      <c r="AQ57" t="s">
        <v>249</v>
      </c>
      <c r="AR57">
        <v>-77.69999</v>
      </c>
      <c r="AS57">
        <v>25</v>
      </c>
      <c r="AT57">
        <v>3600</v>
      </c>
      <c r="AU57" t="s">
        <v>123</v>
      </c>
      <c r="AV57">
        <v>95</v>
      </c>
      <c r="AW57">
        <v>167</v>
      </c>
      <c r="AX57">
        <v>-64</v>
      </c>
      <c r="AZ57">
        <f t="shared" si="6"/>
        <v>9025</v>
      </c>
      <c r="BA57">
        <f t="shared" si="7"/>
        <v>27889</v>
      </c>
      <c r="BB57" s="1">
        <f t="shared" si="8"/>
        <v>192.13016421166145</v>
      </c>
      <c r="BJ57">
        <v>1404</v>
      </c>
      <c r="BK57">
        <v>1</v>
      </c>
      <c r="BL57" t="str">
        <f t="shared" si="2"/>
        <v xml:space="preserve">N600C   </v>
      </c>
      <c r="BM57">
        <v>2</v>
      </c>
      <c r="BO57">
        <v>0</v>
      </c>
      <c r="BP57">
        <v>0</v>
      </c>
      <c r="BQ57">
        <v>0</v>
      </c>
      <c r="BR57">
        <v>3700</v>
      </c>
      <c r="BS57">
        <v>100</v>
      </c>
      <c r="BT57" t="s">
        <v>128</v>
      </c>
      <c r="BU57">
        <v>0</v>
      </c>
      <c r="BV57">
        <v>0</v>
      </c>
      <c r="BW57">
        <v>0</v>
      </c>
      <c r="BX57">
        <v>1</v>
      </c>
      <c r="CA57">
        <v>0</v>
      </c>
      <c r="CB57">
        <v>0</v>
      </c>
      <c r="CC57">
        <v>0</v>
      </c>
      <c r="CM57" t="str">
        <f>"17:41:07.893"</f>
        <v>17:41:07.893</v>
      </c>
      <c r="CN57">
        <v>892884453</v>
      </c>
      <c r="CQ57">
        <v>0</v>
      </c>
      <c r="CR57">
        <v>4000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2</v>
      </c>
      <c r="DC57">
        <v>0</v>
      </c>
      <c r="DD57">
        <v>2</v>
      </c>
      <c r="DE57">
        <v>0</v>
      </c>
      <c r="DF57">
        <v>7</v>
      </c>
      <c r="DG57">
        <v>7</v>
      </c>
      <c r="DH57" t="s">
        <v>124</v>
      </c>
      <c r="DI57">
        <v>71</v>
      </c>
      <c r="DJ57">
        <v>1</v>
      </c>
      <c r="DK57" t="s">
        <v>134</v>
      </c>
      <c r="DL57" t="s">
        <v>135</v>
      </c>
      <c r="DO57">
        <v>11256938</v>
      </c>
      <c r="DQ57">
        <v>0</v>
      </c>
      <c r="DR57">
        <v>0</v>
      </c>
      <c r="DS57">
        <v>1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</row>
    <row r="58" spans="1:131" x14ac:dyDescent="0.35">
      <c r="A58" s="2" t="str">
        <f>"17:41:09.191"</f>
        <v>17:41:09.191</v>
      </c>
      <c r="B58" s="4">
        <f t="shared" si="9"/>
        <v>63669.190999999999</v>
      </c>
      <c r="C58" s="4">
        <f t="shared" si="3"/>
        <v>69.190999999998894</v>
      </c>
      <c r="D58" s="3">
        <f t="shared" si="4"/>
        <v>0.73691193287037038</v>
      </c>
      <c r="E58" s="2">
        <f t="shared" si="5"/>
        <v>0.73691193287037038</v>
      </c>
      <c r="G58" t="str">
        <f t="shared" si="0"/>
        <v>FFDFD7C0</v>
      </c>
      <c r="H58" t="s">
        <v>126</v>
      </c>
      <c r="I58">
        <v>8</v>
      </c>
      <c r="J58">
        <v>1008</v>
      </c>
      <c r="K58" t="s">
        <v>129</v>
      </c>
      <c r="N58" t="s">
        <v>127</v>
      </c>
      <c r="O58">
        <v>0</v>
      </c>
      <c r="P58">
        <v>3</v>
      </c>
      <c r="Q58">
        <v>0</v>
      </c>
      <c r="R58">
        <v>2</v>
      </c>
      <c r="S58">
        <v>1</v>
      </c>
      <c r="T58">
        <v>0</v>
      </c>
      <c r="U58">
        <v>0</v>
      </c>
      <c r="W58" t="str">
        <f>"17:41:08.875"</f>
        <v>17:41:08.875</v>
      </c>
      <c r="X58" t="str">
        <f>"17:41:08.775"</f>
        <v>17:41:08.775</v>
      </c>
      <c r="Y58" t="str">
        <f t="shared" si="1"/>
        <v>A7C771</v>
      </c>
      <c r="Z58">
        <v>0</v>
      </c>
      <c r="AA58">
        <v>0</v>
      </c>
      <c r="AB58">
        <v>2</v>
      </c>
      <c r="AC58">
        <v>0</v>
      </c>
      <c r="AE58">
        <v>0</v>
      </c>
      <c r="AF58">
        <v>8</v>
      </c>
      <c r="AG58">
        <v>3</v>
      </c>
      <c r="AH58">
        <v>0</v>
      </c>
      <c r="AI58">
        <v>9</v>
      </c>
      <c r="AJ58" t="s">
        <v>125</v>
      </c>
      <c r="AK58">
        <v>0</v>
      </c>
      <c r="AL58">
        <v>3</v>
      </c>
      <c r="AM58">
        <v>2</v>
      </c>
      <c r="AN58">
        <v>1</v>
      </c>
      <c r="AO58" t="s">
        <v>250</v>
      </c>
      <c r="AP58">
        <v>42.766599999999997</v>
      </c>
      <c r="AQ58" t="s">
        <v>251</v>
      </c>
      <c r="AR58">
        <v>-77.699454000000003</v>
      </c>
      <c r="AS58">
        <v>25</v>
      </c>
      <c r="AT58">
        <v>3600</v>
      </c>
      <c r="AU58" t="s">
        <v>123</v>
      </c>
      <c r="AV58">
        <v>95</v>
      </c>
      <c r="AW58">
        <v>166</v>
      </c>
      <c r="AX58">
        <v>-64</v>
      </c>
      <c r="AZ58">
        <f t="shared" si="6"/>
        <v>9025</v>
      </c>
      <c r="BA58">
        <f t="shared" si="7"/>
        <v>27556</v>
      </c>
      <c r="BB58" s="1">
        <f t="shared" si="8"/>
        <v>191.26160095534075</v>
      </c>
      <c r="BJ58">
        <v>1404</v>
      </c>
      <c r="BK58">
        <v>1</v>
      </c>
      <c r="BL58" t="str">
        <f t="shared" si="2"/>
        <v xml:space="preserve">N600C   </v>
      </c>
      <c r="BM58">
        <v>2</v>
      </c>
      <c r="BO58">
        <v>0</v>
      </c>
      <c r="BP58">
        <v>0</v>
      </c>
      <c r="BQ58">
        <v>0</v>
      </c>
      <c r="BR58">
        <v>3700</v>
      </c>
      <c r="BS58">
        <v>100</v>
      </c>
      <c r="BT58" t="s">
        <v>128</v>
      </c>
      <c r="BU58">
        <v>0</v>
      </c>
      <c r="BV58">
        <v>0</v>
      </c>
      <c r="BW58">
        <v>0</v>
      </c>
      <c r="BX58">
        <v>1</v>
      </c>
      <c r="CA58">
        <v>0</v>
      </c>
      <c r="CB58">
        <v>0</v>
      </c>
      <c r="CC58">
        <v>0</v>
      </c>
      <c r="CM58" t="str">
        <f>"17:41:08.877"</f>
        <v>17:41:08.877</v>
      </c>
      <c r="CN58">
        <v>877069749</v>
      </c>
      <c r="CQ58">
        <v>0</v>
      </c>
      <c r="CR58">
        <v>4000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2</v>
      </c>
      <c r="DC58">
        <v>0</v>
      </c>
      <c r="DD58">
        <v>2</v>
      </c>
      <c r="DE58">
        <v>0</v>
      </c>
      <c r="DF58">
        <v>7</v>
      </c>
      <c r="DG58">
        <v>7</v>
      </c>
      <c r="DH58" t="s">
        <v>124</v>
      </c>
      <c r="DI58">
        <v>71</v>
      </c>
      <c r="DJ58">
        <v>2</v>
      </c>
      <c r="DK58" t="s">
        <v>134</v>
      </c>
      <c r="DL58" t="s">
        <v>135</v>
      </c>
      <c r="DO58">
        <v>745735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</row>
    <row r="59" spans="1:131" x14ac:dyDescent="0.35">
      <c r="A59" s="2" t="str">
        <f>"17:41:10.051"</f>
        <v>17:41:10.051</v>
      </c>
      <c r="B59" s="4">
        <f t="shared" si="9"/>
        <v>63670.050999999999</v>
      </c>
      <c r="C59" s="4">
        <f t="shared" si="3"/>
        <v>70.050999999999476</v>
      </c>
      <c r="D59" s="3">
        <f t="shared" si="4"/>
        <v>0.73692188657407409</v>
      </c>
      <c r="E59" s="2">
        <f t="shared" si="5"/>
        <v>0.73692188657407409</v>
      </c>
      <c r="G59" t="str">
        <f t="shared" si="0"/>
        <v>FFDFD7C0</v>
      </c>
      <c r="H59" t="s">
        <v>126</v>
      </c>
      <c r="I59">
        <v>8</v>
      </c>
      <c r="J59">
        <v>1008</v>
      </c>
      <c r="K59" t="s">
        <v>129</v>
      </c>
      <c r="N59" t="s">
        <v>127</v>
      </c>
      <c r="O59">
        <v>0</v>
      </c>
      <c r="P59">
        <v>3</v>
      </c>
      <c r="Q59">
        <v>0</v>
      </c>
      <c r="R59">
        <v>2</v>
      </c>
      <c r="S59">
        <v>1</v>
      </c>
      <c r="T59">
        <v>0</v>
      </c>
      <c r="U59">
        <v>0</v>
      </c>
      <c r="W59" t="str">
        <f>"17:41:09.797"</f>
        <v>17:41:09.797</v>
      </c>
      <c r="X59" t="str">
        <f>"17:41:09.297"</f>
        <v>17:41:09.297</v>
      </c>
      <c r="Y59" t="str">
        <f t="shared" si="1"/>
        <v>A7C771</v>
      </c>
      <c r="Z59">
        <v>0</v>
      </c>
      <c r="AA59">
        <v>0</v>
      </c>
      <c r="AB59">
        <v>2</v>
      </c>
      <c r="AC59">
        <v>0</v>
      </c>
      <c r="AE59">
        <v>0</v>
      </c>
      <c r="AF59">
        <v>8</v>
      </c>
      <c r="AG59">
        <v>3</v>
      </c>
      <c r="AH59">
        <v>0</v>
      </c>
      <c r="AI59">
        <v>9</v>
      </c>
      <c r="AJ59" t="s">
        <v>125</v>
      </c>
      <c r="AK59">
        <v>0</v>
      </c>
      <c r="AL59">
        <v>3</v>
      </c>
      <c r="AM59">
        <v>2</v>
      </c>
      <c r="AN59">
        <v>1</v>
      </c>
      <c r="AO59" t="s">
        <v>252</v>
      </c>
      <c r="AP59">
        <v>42.767394000000003</v>
      </c>
      <c r="AQ59" t="s">
        <v>253</v>
      </c>
      <c r="AR59">
        <v>-77.698831999999996</v>
      </c>
      <c r="AS59">
        <v>25</v>
      </c>
      <c r="AT59">
        <v>3600</v>
      </c>
      <c r="AU59" t="s">
        <v>123</v>
      </c>
      <c r="AV59">
        <v>95</v>
      </c>
      <c r="AW59">
        <v>166</v>
      </c>
      <c r="AX59">
        <v>-64</v>
      </c>
      <c r="AZ59">
        <f t="shared" si="6"/>
        <v>9025</v>
      </c>
      <c r="BA59">
        <f t="shared" si="7"/>
        <v>27556</v>
      </c>
      <c r="BB59" s="1">
        <f t="shared" si="8"/>
        <v>191.26160095534075</v>
      </c>
      <c r="BJ59">
        <v>1404</v>
      </c>
      <c r="BK59">
        <v>1</v>
      </c>
      <c r="BL59" t="str">
        <f t="shared" si="2"/>
        <v xml:space="preserve">N600C   </v>
      </c>
      <c r="BM59">
        <v>2</v>
      </c>
      <c r="BO59">
        <v>0</v>
      </c>
      <c r="BP59">
        <v>0</v>
      </c>
      <c r="BQ59">
        <v>0</v>
      </c>
      <c r="BR59">
        <v>3700</v>
      </c>
      <c r="BS59">
        <v>100</v>
      </c>
      <c r="BT59" t="s">
        <v>128</v>
      </c>
      <c r="BU59">
        <v>0</v>
      </c>
      <c r="BV59">
        <v>0</v>
      </c>
      <c r="BW59">
        <v>0</v>
      </c>
      <c r="BX59">
        <v>1</v>
      </c>
      <c r="CA59">
        <v>0</v>
      </c>
      <c r="CB59">
        <v>0</v>
      </c>
      <c r="CC59">
        <v>0</v>
      </c>
      <c r="CM59" t="str">
        <f>"17:41:09.797"</f>
        <v>17:41:09.797</v>
      </c>
      <c r="CN59">
        <v>797235362</v>
      </c>
      <c r="CQ59">
        <v>0</v>
      </c>
      <c r="CR59">
        <v>4000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2</v>
      </c>
      <c r="DC59">
        <v>0</v>
      </c>
      <c r="DD59">
        <v>2</v>
      </c>
      <c r="DE59">
        <v>0</v>
      </c>
      <c r="DF59">
        <v>7</v>
      </c>
      <c r="DG59">
        <v>7</v>
      </c>
      <c r="DH59" t="s">
        <v>124</v>
      </c>
      <c r="DI59">
        <v>71</v>
      </c>
      <c r="DJ59">
        <v>1</v>
      </c>
      <c r="DK59" t="s">
        <v>134</v>
      </c>
      <c r="DL59" t="s">
        <v>135</v>
      </c>
      <c r="DO59">
        <v>11258561</v>
      </c>
      <c r="DQ59">
        <v>0</v>
      </c>
      <c r="DR59">
        <v>0</v>
      </c>
      <c r="DS59">
        <v>1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</row>
    <row r="60" spans="1:131" x14ac:dyDescent="0.35">
      <c r="A60" s="2" t="str">
        <f>"17:41:11.051"</f>
        <v>17:41:11.051</v>
      </c>
      <c r="B60" s="4">
        <f t="shared" si="9"/>
        <v>63671.050999999999</v>
      </c>
      <c r="C60" s="4">
        <f t="shared" si="3"/>
        <v>71.050999999999476</v>
      </c>
      <c r="D60" s="3">
        <f t="shared" si="4"/>
        <v>0.73693346064814813</v>
      </c>
      <c r="E60" s="2">
        <f t="shared" si="5"/>
        <v>0.73693346064814813</v>
      </c>
      <c r="G60" t="str">
        <f t="shared" si="0"/>
        <v>FFDFD7C0</v>
      </c>
      <c r="H60" t="s">
        <v>126</v>
      </c>
      <c r="I60">
        <v>8</v>
      </c>
      <c r="J60">
        <v>1008</v>
      </c>
      <c r="K60" t="s">
        <v>129</v>
      </c>
      <c r="N60" t="s">
        <v>127</v>
      </c>
      <c r="O60">
        <v>0</v>
      </c>
      <c r="P60">
        <v>3</v>
      </c>
      <c r="Q60">
        <v>0</v>
      </c>
      <c r="R60">
        <v>2</v>
      </c>
      <c r="S60">
        <v>1</v>
      </c>
      <c r="T60">
        <v>0</v>
      </c>
      <c r="U60">
        <v>0</v>
      </c>
      <c r="W60" t="str">
        <f>"17:41:10.828"</f>
        <v>17:41:10.828</v>
      </c>
      <c r="X60" t="str">
        <f>"17:41:10.428"</f>
        <v>17:41:10.428</v>
      </c>
      <c r="Y60" t="str">
        <f t="shared" si="1"/>
        <v>A7C771</v>
      </c>
      <c r="Z60">
        <v>0</v>
      </c>
      <c r="AA60">
        <v>0</v>
      </c>
      <c r="AB60">
        <v>2</v>
      </c>
      <c r="AC60">
        <v>0</v>
      </c>
      <c r="AE60">
        <v>0</v>
      </c>
      <c r="AF60">
        <v>8</v>
      </c>
      <c r="AG60">
        <v>3</v>
      </c>
      <c r="AH60">
        <v>0</v>
      </c>
      <c r="AI60">
        <v>9</v>
      </c>
      <c r="AJ60" t="s">
        <v>125</v>
      </c>
      <c r="AK60">
        <v>0</v>
      </c>
      <c r="AL60">
        <v>3</v>
      </c>
      <c r="AM60">
        <v>2</v>
      </c>
      <c r="AN60">
        <v>1</v>
      </c>
      <c r="AO60" t="s">
        <v>254</v>
      </c>
      <c r="AP60">
        <v>42.768144999999997</v>
      </c>
      <c r="AQ60" t="s">
        <v>255</v>
      </c>
      <c r="AR60">
        <v>-77.698251999999997</v>
      </c>
      <c r="AS60">
        <v>25</v>
      </c>
      <c r="AT60">
        <v>3600</v>
      </c>
      <c r="AU60" t="s">
        <v>123</v>
      </c>
      <c r="AV60">
        <v>95</v>
      </c>
      <c r="AW60">
        <v>165</v>
      </c>
      <c r="AX60">
        <v>-64</v>
      </c>
      <c r="AZ60">
        <f t="shared" si="6"/>
        <v>9025</v>
      </c>
      <c r="BA60">
        <f t="shared" si="7"/>
        <v>27225</v>
      </c>
      <c r="BB60" s="1">
        <f t="shared" si="8"/>
        <v>190.3943276465977</v>
      </c>
      <c r="BJ60">
        <v>1404</v>
      </c>
      <c r="BK60">
        <v>1</v>
      </c>
      <c r="BL60" t="str">
        <f t="shared" si="2"/>
        <v xml:space="preserve">N600C   </v>
      </c>
      <c r="BM60">
        <v>2</v>
      </c>
      <c r="BO60">
        <v>0</v>
      </c>
      <c r="BP60">
        <v>0</v>
      </c>
      <c r="BQ60">
        <v>0</v>
      </c>
      <c r="BR60">
        <v>3700</v>
      </c>
      <c r="BS60">
        <v>100</v>
      </c>
      <c r="BT60" t="s">
        <v>128</v>
      </c>
      <c r="BU60">
        <v>0</v>
      </c>
      <c r="BV60">
        <v>0</v>
      </c>
      <c r="BW60">
        <v>0</v>
      </c>
      <c r="BX60">
        <v>1</v>
      </c>
      <c r="CA60">
        <v>0</v>
      </c>
      <c r="CB60">
        <v>0</v>
      </c>
      <c r="CC60">
        <v>0</v>
      </c>
      <c r="CM60" t="str">
        <f>"17:41:10.829"</f>
        <v>17:41:10.829</v>
      </c>
      <c r="CN60">
        <v>829419496</v>
      </c>
      <c r="CQ60">
        <v>0</v>
      </c>
      <c r="CR60">
        <v>4000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2</v>
      </c>
      <c r="DC60">
        <v>0</v>
      </c>
      <c r="DD60">
        <v>2</v>
      </c>
      <c r="DE60">
        <v>0</v>
      </c>
      <c r="DF60">
        <v>7</v>
      </c>
      <c r="DG60">
        <v>7</v>
      </c>
      <c r="DH60" t="s">
        <v>124</v>
      </c>
      <c r="DI60">
        <v>71</v>
      </c>
      <c r="DJ60">
        <v>2</v>
      </c>
      <c r="DK60" t="s">
        <v>134</v>
      </c>
      <c r="DL60" t="s">
        <v>135</v>
      </c>
      <c r="DO60">
        <v>747573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</row>
    <row r="61" spans="1:131" x14ac:dyDescent="0.35">
      <c r="A61" s="2" t="str">
        <f>"17:41:12.067"</f>
        <v>17:41:12.067</v>
      </c>
      <c r="B61" s="4">
        <f t="shared" si="9"/>
        <v>63672.067000000003</v>
      </c>
      <c r="C61" s="4">
        <f t="shared" si="3"/>
        <v>72.067000000002736</v>
      </c>
      <c r="D61" s="3">
        <f t="shared" si="4"/>
        <v>0.73694521990740747</v>
      </c>
      <c r="E61" s="2">
        <f t="shared" si="5"/>
        <v>0.73694521990740747</v>
      </c>
      <c r="G61" t="str">
        <f t="shared" si="0"/>
        <v>FFDFD7C0</v>
      </c>
      <c r="H61" t="s">
        <v>126</v>
      </c>
      <c r="I61">
        <v>8</v>
      </c>
      <c r="J61">
        <v>1008</v>
      </c>
      <c r="K61" t="s">
        <v>129</v>
      </c>
      <c r="N61" t="s">
        <v>127</v>
      </c>
      <c r="O61">
        <v>0</v>
      </c>
      <c r="P61">
        <v>3</v>
      </c>
      <c r="Q61">
        <v>0</v>
      </c>
      <c r="R61">
        <v>2</v>
      </c>
      <c r="S61">
        <v>1</v>
      </c>
      <c r="T61">
        <v>0</v>
      </c>
      <c r="U61">
        <v>0</v>
      </c>
      <c r="W61" t="str">
        <f>"17:41:11.844"</f>
        <v>17:41:11.844</v>
      </c>
      <c r="X61" t="str">
        <f>"17:41:11.844"</f>
        <v>17:41:11.844</v>
      </c>
      <c r="Y61" t="str">
        <f t="shared" si="1"/>
        <v>A7C771</v>
      </c>
      <c r="Z61">
        <v>0</v>
      </c>
      <c r="AA61">
        <v>0</v>
      </c>
      <c r="AB61">
        <v>2</v>
      </c>
      <c r="AC61">
        <v>0</v>
      </c>
      <c r="AE61">
        <v>0</v>
      </c>
      <c r="AF61">
        <v>8</v>
      </c>
      <c r="AG61">
        <v>3</v>
      </c>
      <c r="AH61">
        <v>0</v>
      </c>
      <c r="AI61">
        <v>9</v>
      </c>
      <c r="AJ61" t="s">
        <v>125</v>
      </c>
      <c r="AK61">
        <v>0</v>
      </c>
      <c r="AL61">
        <v>3</v>
      </c>
      <c r="AM61">
        <v>2</v>
      </c>
      <c r="AN61">
        <v>1</v>
      </c>
      <c r="AO61" t="s">
        <v>256</v>
      </c>
      <c r="AP61">
        <v>42.768895999999998</v>
      </c>
      <c r="AQ61" t="s">
        <v>257</v>
      </c>
      <c r="AR61">
        <v>-77.697672999999995</v>
      </c>
      <c r="AS61">
        <v>25</v>
      </c>
      <c r="AT61">
        <v>3600</v>
      </c>
      <c r="AU61" t="s">
        <v>123</v>
      </c>
      <c r="AV61">
        <v>94</v>
      </c>
      <c r="AW61">
        <v>164</v>
      </c>
      <c r="AX61">
        <v>-192</v>
      </c>
      <c r="AZ61">
        <f t="shared" si="6"/>
        <v>8836</v>
      </c>
      <c r="BA61">
        <f t="shared" si="7"/>
        <v>26896</v>
      </c>
      <c r="BB61" s="1">
        <f t="shared" si="8"/>
        <v>189.02909828912584</v>
      </c>
      <c r="BJ61">
        <v>1404</v>
      </c>
      <c r="BK61">
        <v>1</v>
      </c>
      <c r="BL61" t="str">
        <f t="shared" si="2"/>
        <v xml:space="preserve">N600C   </v>
      </c>
      <c r="BM61">
        <v>2</v>
      </c>
      <c r="BO61">
        <v>0</v>
      </c>
      <c r="BP61">
        <v>0</v>
      </c>
      <c r="BQ61">
        <v>0</v>
      </c>
      <c r="BR61">
        <v>3700</v>
      </c>
      <c r="BS61">
        <v>100</v>
      </c>
      <c r="BT61" t="s">
        <v>128</v>
      </c>
      <c r="BU61">
        <v>0</v>
      </c>
      <c r="BV61">
        <v>0</v>
      </c>
      <c r="BW61">
        <v>0</v>
      </c>
      <c r="BX61">
        <v>1</v>
      </c>
      <c r="CA61">
        <v>0</v>
      </c>
      <c r="CB61">
        <v>0</v>
      </c>
      <c r="CC61">
        <v>0</v>
      </c>
      <c r="CM61" t="str">
        <f>"17:41:11.846"</f>
        <v>17:41:11.846</v>
      </c>
      <c r="CN61">
        <v>845611570</v>
      </c>
      <c r="CQ61">
        <v>0</v>
      </c>
      <c r="CR61">
        <v>4000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2</v>
      </c>
      <c r="DC61">
        <v>0</v>
      </c>
      <c r="DD61">
        <v>2</v>
      </c>
      <c r="DE61">
        <v>0</v>
      </c>
      <c r="DF61">
        <v>7</v>
      </c>
      <c r="DG61">
        <v>7</v>
      </c>
      <c r="DH61" t="s">
        <v>124</v>
      </c>
      <c r="DI61">
        <v>71</v>
      </c>
      <c r="DJ61">
        <v>2</v>
      </c>
      <c r="DK61" t="s">
        <v>134</v>
      </c>
      <c r="DL61" t="s">
        <v>135</v>
      </c>
      <c r="DO61">
        <v>748533</v>
      </c>
      <c r="DQ61">
        <v>0</v>
      </c>
      <c r="DR61">
        <v>0</v>
      </c>
      <c r="DS61">
        <v>1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</row>
    <row r="62" spans="1:131" x14ac:dyDescent="0.35">
      <c r="A62" s="2" t="str">
        <f>"17:41:13.131"</f>
        <v>17:41:13.131</v>
      </c>
      <c r="B62" s="4">
        <f t="shared" si="9"/>
        <v>63673.131000000001</v>
      </c>
      <c r="C62" s="4">
        <f t="shared" si="3"/>
        <v>73.131000000001222</v>
      </c>
      <c r="D62" s="3">
        <f t="shared" si="4"/>
        <v>0.73695753472222225</v>
      </c>
      <c r="E62" s="2">
        <f t="shared" si="5"/>
        <v>0.73695753472222225</v>
      </c>
      <c r="G62" t="str">
        <f t="shared" si="0"/>
        <v>FFDFD7C0</v>
      </c>
      <c r="H62" t="s">
        <v>126</v>
      </c>
      <c r="I62">
        <v>8</v>
      </c>
      <c r="J62">
        <v>1008</v>
      </c>
      <c r="K62" t="s">
        <v>129</v>
      </c>
      <c r="N62" t="s">
        <v>127</v>
      </c>
      <c r="O62">
        <v>0</v>
      </c>
      <c r="P62">
        <v>3</v>
      </c>
      <c r="Q62">
        <v>0</v>
      </c>
      <c r="R62">
        <v>2</v>
      </c>
      <c r="S62">
        <v>1</v>
      </c>
      <c r="T62">
        <v>0</v>
      </c>
      <c r="U62">
        <v>0</v>
      </c>
      <c r="W62" t="str">
        <f>"17:41:12.828"</f>
        <v>17:41:12.828</v>
      </c>
      <c r="X62" t="str">
        <f>"17:41:12.828"</f>
        <v>17:41:12.828</v>
      </c>
      <c r="Y62" t="str">
        <f t="shared" si="1"/>
        <v>A7C771</v>
      </c>
      <c r="Z62">
        <v>0</v>
      </c>
      <c r="AA62">
        <v>0</v>
      </c>
      <c r="AB62">
        <v>2</v>
      </c>
      <c r="AC62">
        <v>0</v>
      </c>
      <c r="AE62">
        <v>0</v>
      </c>
      <c r="AF62">
        <v>8</v>
      </c>
      <c r="AG62">
        <v>3</v>
      </c>
      <c r="AH62">
        <v>0</v>
      </c>
      <c r="AI62">
        <v>9</v>
      </c>
      <c r="AJ62" t="s">
        <v>125</v>
      </c>
      <c r="AK62">
        <v>0</v>
      </c>
      <c r="AL62">
        <v>3</v>
      </c>
      <c r="AM62">
        <v>2</v>
      </c>
      <c r="AN62">
        <v>1</v>
      </c>
      <c r="AO62" t="s">
        <v>258</v>
      </c>
      <c r="AP62">
        <v>42.769689999999997</v>
      </c>
      <c r="AQ62" t="s">
        <v>259</v>
      </c>
      <c r="AR62">
        <v>-77.697092999999995</v>
      </c>
      <c r="AS62">
        <v>25</v>
      </c>
      <c r="AT62">
        <v>3600</v>
      </c>
      <c r="AU62" t="s">
        <v>123</v>
      </c>
      <c r="AV62">
        <v>93</v>
      </c>
      <c r="AW62">
        <v>163</v>
      </c>
      <c r="AX62">
        <v>-256</v>
      </c>
      <c r="AZ62">
        <f t="shared" si="6"/>
        <v>8649</v>
      </c>
      <c r="BA62">
        <f t="shared" si="7"/>
        <v>26569</v>
      </c>
      <c r="BB62" s="1">
        <f t="shared" si="8"/>
        <v>187.66459442313567</v>
      </c>
      <c r="BJ62">
        <v>1404</v>
      </c>
      <c r="BK62">
        <v>1</v>
      </c>
      <c r="BL62" t="str">
        <f t="shared" si="2"/>
        <v xml:space="preserve">N600C   </v>
      </c>
      <c r="BM62">
        <v>2</v>
      </c>
      <c r="BO62">
        <v>0</v>
      </c>
      <c r="BP62">
        <v>0</v>
      </c>
      <c r="BQ62">
        <v>0</v>
      </c>
      <c r="BR62">
        <v>3700</v>
      </c>
      <c r="BS62">
        <v>100</v>
      </c>
      <c r="BT62" t="s">
        <v>128</v>
      </c>
      <c r="BU62">
        <v>0</v>
      </c>
      <c r="BV62">
        <v>0</v>
      </c>
      <c r="BW62">
        <v>0</v>
      </c>
      <c r="BX62">
        <v>1</v>
      </c>
      <c r="CA62">
        <v>0</v>
      </c>
      <c r="CB62">
        <v>0</v>
      </c>
      <c r="CC62">
        <v>0</v>
      </c>
      <c r="CM62" t="str">
        <f>"17:41:12.830"</f>
        <v>17:41:12.830</v>
      </c>
      <c r="CN62">
        <v>829789611</v>
      </c>
      <c r="CQ62">
        <v>0</v>
      </c>
      <c r="CR62">
        <v>4000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2</v>
      </c>
      <c r="DC62">
        <v>0</v>
      </c>
      <c r="DD62">
        <v>2</v>
      </c>
      <c r="DE62">
        <v>0</v>
      </c>
      <c r="DF62">
        <v>7</v>
      </c>
      <c r="DG62">
        <v>7</v>
      </c>
      <c r="DH62" t="s">
        <v>124</v>
      </c>
      <c r="DI62">
        <v>71</v>
      </c>
      <c r="DJ62">
        <v>2</v>
      </c>
      <c r="DK62" t="s">
        <v>134</v>
      </c>
      <c r="DL62" t="s">
        <v>135</v>
      </c>
      <c r="DO62">
        <v>749539</v>
      </c>
      <c r="DQ62">
        <v>0</v>
      </c>
      <c r="DR62">
        <v>0</v>
      </c>
      <c r="DS62">
        <v>1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</row>
    <row r="63" spans="1:131" x14ac:dyDescent="0.35">
      <c r="A63" s="2" t="str">
        <f>"17:41:13.974"</f>
        <v>17:41:13.974</v>
      </c>
      <c r="B63" s="4">
        <f t="shared" si="9"/>
        <v>63673.973999999995</v>
      </c>
      <c r="C63" s="4">
        <f t="shared" si="3"/>
        <v>73.973999999994703</v>
      </c>
      <c r="D63" s="3">
        <f t="shared" si="4"/>
        <v>0.73696729166666664</v>
      </c>
      <c r="E63" s="2">
        <f t="shared" si="5"/>
        <v>0.73696729166666664</v>
      </c>
      <c r="G63" t="str">
        <f t="shared" si="0"/>
        <v>FFDFD7C0</v>
      </c>
      <c r="H63" t="s">
        <v>126</v>
      </c>
      <c r="I63">
        <v>8</v>
      </c>
      <c r="J63">
        <v>1008</v>
      </c>
      <c r="K63" t="s">
        <v>129</v>
      </c>
      <c r="N63" t="s">
        <v>127</v>
      </c>
      <c r="O63">
        <v>0</v>
      </c>
      <c r="P63">
        <v>3</v>
      </c>
      <c r="Q63">
        <v>0</v>
      </c>
      <c r="R63">
        <v>2</v>
      </c>
      <c r="S63">
        <v>1</v>
      </c>
      <c r="T63">
        <v>0</v>
      </c>
      <c r="U63">
        <v>0</v>
      </c>
      <c r="W63" t="str">
        <f>"17:41:13.781"</f>
        <v>17:41:13.781</v>
      </c>
      <c r="X63" t="str">
        <f>"17:41:13.381"</f>
        <v>17:41:13.381</v>
      </c>
      <c r="Y63" t="str">
        <f t="shared" si="1"/>
        <v>A7C771</v>
      </c>
      <c r="Z63">
        <v>0</v>
      </c>
      <c r="AA63">
        <v>0</v>
      </c>
      <c r="AB63">
        <v>2</v>
      </c>
      <c r="AC63">
        <v>0</v>
      </c>
      <c r="AE63">
        <v>0</v>
      </c>
      <c r="AF63">
        <v>8</v>
      </c>
      <c r="AG63">
        <v>3</v>
      </c>
      <c r="AH63">
        <v>0</v>
      </c>
      <c r="AI63">
        <v>9</v>
      </c>
      <c r="AJ63" t="s">
        <v>125</v>
      </c>
      <c r="AK63">
        <v>0</v>
      </c>
      <c r="AL63">
        <v>3</v>
      </c>
      <c r="AM63">
        <v>2</v>
      </c>
      <c r="AN63">
        <v>1</v>
      </c>
      <c r="AO63" t="s">
        <v>260</v>
      </c>
      <c r="AP63">
        <v>42.770333000000001</v>
      </c>
      <c r="AQ63" t="s">
        <v>261</v>
      </c>
      <c r="AR63">
        <v>-77.696556999999999</v>
      </c>
      <c r="AS63">
        <v>25</v>
      </c>
      <c r="AT63">
        <v>3600</v>
      </c>
      <c r="AU63" t="s">
        <v>123</v>
      </c>
      <c r="AV63">
        <v>93</v>
      </c>
      <c r="AW63">
        <v>162</v>
      </c>
      <c r="AX63">
        <v>-256</v>
      </c>
      <c r="AZ63">
        <f t="shared" si="6"/>
        <v>8649</v>
      </c>
      <c r="BA63">
        <f t="shared" si="7"/>
        <v>26244</v>
      </c>
      <c r="BB63" s="1">
        <f t="shared" si="8"/>
        <v>186.79668091269716</v>
      </c>
      <c r="BJ63">
        <v>1404</v>
      </c>
      <c r="BK63">
        <v>1</v>
      </c>
      <c r="BL63" t="str">
        <f t="shared" si="2"/>
        <v xml:space="preserve">N600C   </v>
      </c>
      <c r="BM63">
        <v>2</v>
      </c>
      <c r="BO63">
        <v>0</v>
      </c>
      <c r="BP63">
        <v>0</v>
      </c>
      <c r="BQ63">
        <v>0</v>
      </c>
      <c r="BR63">
        <v>3700</v>
      </c>
      <c r="BS63">
        <v>100</v>
      </c>
      <c r="BT63" t="s">
        <v>128</v>
      </c>
      <c r="BU63">
        <v>0</v>
      </c>
      <c r="BV63">
        <v>0</v>
      </c>
      <c r="BW63">
        <v>0</v>
      </c>
      <c r="BX63">
        <v>1</v>
      </c>
      <c r="CA63">
        <v>0</v>
      </c>
      <c r="CB63">
        <v>0</v>
      </c>
      <c r="CC63">
        <v>0</v>
      </c>
      <c r="CM63" t="str">
        <f>"17:41:13.782"</f>
        <v>17:41:13.782</v>
      </c>
      <c r="CN63">
        <v>781957064</v>
      </c>
      <c r="CQ63">
        <v>0</v>
      </c>
      <c r="CR63">
        <v>4000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2</v>
      </c>
      <c r="DC63">
        <v>0</v>
      </c>
      <c r="DD63">
        <v>2</v>
      </c>
      <c r="DE63">
        <v>0</v>
      </c>
      <c r="DF63">
        <v>7</v>
      </c>
      <c r="DG63">
        <v>7</v>
      </c>
      <c r="DH63" t="s">
        <v>124</v>
      </c>
      <c r="DI63">
        <v>71</v>
      </c>
      <c r="DJ63">
        <v>1</v>
      </c>
      <c r="DK63" t="s">
        <v>134</v>
      </c>
      <c r="DL63" t="s">
        <v>135</v>
      </c>
      <c r="DO63">
        <v>11262027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</row>
    <row r="64" spans="1:131" x14ac:dyDescent="0.35">
      <c r="A64" s="2" t="str">
        <f>"17:41:14.958"</f>
        <v>17:41:14.958</v>
      </c>
      <c r="B64" s="4">
        <f t="shared" si="9"/>
        <v>63674.957999999991</v>
      </c>
      <c r="C64" s="4">
        <f t="shared" si="3"/>
        <v>74.957999999991443</v>
      </c>
      <c r="D64" s="3">
        <f t="shared" si="4"/>
        <v>0.73697868055555549</v>
      </c>
      <c r="E64" s="2">
        <f t="shared" si="5"/>
        <v>0.73697868055555549</v>
      </c>
      <c r="G64" t="str">
        <f t="shared" si="0"/>
        <v>FFDFD7C0</v>
      </c>
      <c r="H64" t="s">
        <v>126</v>
      </c>
      <c r="I64">
        <v>8</v>
      </c>
      <c r="J64">
        <v>1008</v>
      </c>
      <c r="K64" t="s">
        <v>129</v>
      </c>
      <c r="N64" t="s">
        <v>127</v>
      </c>
      <c r="O64">
        <v>0</v>
      </c>
      <c r="P64">
        <v>3</v>
      </c>
      <c r="Q64">
        <v>0</v>
      </c>
      <c r="R64">
        <v>2</v>
      </c>
      <c r="S64">
        <v>1</v>
      </c>
      <c r="T64">
        <v>0</v>
      </c>
      <c r="U64">
        <v>0</v>
      </c>
      <c r="W64" t="str">
        <f>"17:41:14.773"</f>
        <v>17:41:14.773</v>
      </c>
      <c r="X64" t="str">
        <f>"17:41:14.773"</f>
        <v>17:41:14.773</v>
      </c>
      <c r="Y64" t="str">
        <f t="shared" si="1"/>
        <v>A7C771</v>
      </c>
      <c r="Z64">
        <v>0</v>
      </c>
      <c r="AA64">
        <v>0</v>
      </c>
      <c r="AB64">
        <v>2</v>
      </c>
      <c r="AC64">
        <v>0</v>
      </c>
      <c r="AE64">
        <v>0</v>
      </c>
      <c r="AF64">
        <v>8</v>
      </c>
      <c r="AG64">
        <v>3</v>
      </c>
      <c r="AH64">
        <v>0</v>
      </c>
      <c r="AI64">
        <v>9</v>
      </c>
      <c r="AJ64" t="s">
        <v>125</v>
      </c>
      <c r="AK64">
        <v>0</v>
      </c>
      <c r="AL64">
        <v>3</v>
      </c>
      <c r="AM64">
        <v>2</v>
      </c>
      <c r="AN64">
        <v>1</v>
      </c>
      <c r="AO64" t="s">
        <v>262</v>
      </c>
      <c r="AP64">
        <v>42.771062999999998</v>
      </c>
      <c r="AQ64" t="s">
        <v>263</v>
      </c>
      <c r="AR64">
        <v>-77.695999</v>
      </c>
      <c r="AS64">
        <v>25</v>
      </c>
      <c r="AT64">
        <v>3600</v>
      </c>
      <c r="AU64" t="s">
        <v>123</v>
      </c>
      <c r="AV64">
        <v>93</v>
      </c>
      <c r="AW64">
        <v>162</v>
      </c>
      <c r="AX64">
        <v>-128</v>
      </c>
      <c r="AZ64">
        <f t="shared" si="6"/>
        <v>8649</v>
      </c>
      <c r="BA64">
        <f t="shared" si="7"/>
        <v>26244</v>
      </c>
      <c r="BB64" s="1">
        <f t="shared" si="8"/>
        <v>186.79668091269716</v>
      </c>
      <c r="BJ64">
        <v>1404</v>
      </c>
      <c r="BK64">
        <v>1</v>
      </c>
      <c r="BL64" t="str">
        <f t="shared" si="2"/>
        <v xml:space="preserve">N600C   </v>
      </c>
      <c r="BM64">
        <v>2</v>
      </c>
      <c r="BO64">
        <v>0</v>
      </c>
      <c r="BP64">
        <v>0</v>
      </c>
      <c r="BQ64">
        <v>0</v>
      </c>
      <c r="BR64">
        <v>3700</v>
      </c>
      <c r="BS64">
        <v>100</v>
      </c>
      <c r="BT64" t="s">
        <v>128</v>
      </c>
      <c r="BU64">
        <v>0</v>
      </c>
      <c r="BV64">
        <v>0</v>
      </c>
      <c r="BW64">
        <v>0</v>
      </c>
      <c r="BX64">
        <v>1</v>
      </c>
      <c r="CA64">
        <v>0</v>
      </c>
      <c r="CB64">
        <v>0</v>
      </c>
      <c r="CC64">
        <v>0</v>
      </c>
      <c r="CM64" t="str">
        <f>"17:41:14.774"</f>
        <v>17:41:14.774</v>
      </c>
      <c r="CN64">
        <v>774148192</v>
      </c>
      <c r="CQ64">
        <v>0</v>
      </c>
      <c r="CR64">
        <v>4000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2</v>
      </c>
      <c r="DC64">
        <v>0</v>
      </c>
      <c r="DD64">
        <v>2</v>
      </c>
      <c r="DE64">
        <v>0</v>
      </c>
      <c r="DF64">
        <v>7</v>
      </c>
      <c r="DG64">
        <v>7</v>
      </c>
      <c r="DH64" t="s">
        <v>124</v>
      </c>
      <c r="DI64">
        <v>71</v>
      </c>
      <c r="DJ64">
        <v>2</v>
      </c>
      <c r="DK64" t="s">
        <v>134</v>
      </c>
      <c r="DL64" t="s">
        <v>135</v>
      </c>
      <c r="DO64">
        <v>751322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</row>
    <row r="65" spans="1:131" x14ac:dyDescent="0.35">
      <c r="A65" s="2" t="str">
        <f>"17:41:15.911"</f>
        <v>17:41:15.911</v>
      </c>
      <c r="B65" s="4">
        <f t="shared" si="9"/>
        <v>63675.911</v>
      </c>
      <c r="C65" s="4">
        <f t="shared" si="3"/>
        <v>75.911000000000058</v>
      </c>
      <c r="D65" s="3">
        <f t="shared" si="4"/>
        <v>0.73698971064814811</v>
      </c>
      <c r="E65" s="2">
        <f t="shared" si="5"/>
        <v>0.73698971064814811</v>
      </c>
      <c r="G65" t="str">
        <f t="shared" si="0"/>
        <v>FFDFD7C0</v>
      </c>
      <c r="H65" t="s">
        <v>126</v>
      </c>
      <c r="I65">
        <v>8</v>
      </c>
      <c r="J65">
        <v>1008</v>
      </c>
      <c r="K65" t="s">
        <v>129</v>
      </c>
      <c r="N65" t="s">
        <v>127</v>
      </c>
      <c r="O65">
        <v>0</v>
      </c>
      <c r="P65">
        <v>3</v>
      </c>
      <c r="Q65">
        <v>0</v>
      </c>
      <c r="R65">
        <v>2</v>
      </c>
      <c r="S65">
        <v>1</v>
      </c>
      <c r="T65">
        <v>0</v>
      </c>
      <c r="U65">
        <v>0</v>
      </c>
      <c r="W65" t="str">
        <f>"17:41:15.672"</f>
        <v>17:41:15.672</v>
      </c>
      <c r="X65" t="str">
        <f>"17:41:15.372"</f>
        <v>17:41:15.372</v>
      </c>
      <c r="Y65" t="str">
        <f t="shared" si="1"/>
        <v>A7C771</v>
      </c>
      <c r="Z65">
        <v>0</v>
      </c>
      <c r="AA65">
        <v>0</v>
      </c>
      <c r="AB65">
        <v>2</v>
      </c>
      <c r="AC65">
        <v>0</v>
      </c>
      <c r="AE65">
        <v>0</v>
      </c>
      <c r="AF65">
        <v>8</v>
      </c>
      <c r="AG65">
        <v>3</v>
      </c>
      <c r="AH65">
        <v>0</v>
      </c>
      <c r="AI65">
        <v>9</v>
      </c>
      <c r="AJ65" t="s">
        <v>125</v>
      </c>
      <c r="AK65">
        <v>0</v>
      </c>
      <c r="AL65">
        <v>3</v>
      </c>
      <c r="AM65">
        <v>2</v>
      </c>
      <c r="AN65">
        <v>1</v>
      </c>
      <c r="AO65" t="s">
        <v>264</v>
      </c>
      <c r="AP65">
        <v>42.771771000000001</v>
      </c>
      <c r="AQ65" t="s">
        <v>265</v>
      </c>
      <c r="AR65">
        <v>-77.695441000000002</v>
      </c>
      <c r="AS65">
        <v>25</v>
      </c>
      <c r="AT65">
        <v>3600</v>
      </c>
      <c r="AU65" t="s">
        <v>123</v>
      </c>
      <c r="AV65">
        <v>93</v>
      </c>
      <c r="AW65">
        <v>162</v>
      </c>
      <c r="AX65">
        <v>-128</v>
      </c>
      <c r="AZ65">
        <f t="shared" si="6"/>
        <v>8649</v>
      </c>
      <c r="BA65">
        <f t="shared" si="7"/>
        <v>26244</v>
      </c>
      <c r="BB65" s="1">
        <f t="shared" si="8"/>
        <v>186.79668091269716</v>
      </c>
      <c r="BJ65">
        <v>1404</v>
      </c>
      <c r="BK65">
        <v>1</v>
      </c>
      <c r="BL65" t="str">
        <f t="shared" si="2"/>
        <v xml:space="preserve">N600C   </v>
      </c>
      <c r="BM65">
        <v>2</v>
      </c>
      <c r="BO65">
        <v>0</v>
      </c>
      <c r="BP65">
        <v>0</v>
      </c>
      <c r="BQ65">
        <v>0</v>
      </c>
      <c r="BR65">
        <v>3700</v>
      </c>
      <c r="BS65">
        <v>100</v>
      </c>
      <c r="BT65" t="s">
        <v>128</v>
      </c>
      <c r="BU65">
        <v>0</v>
      </c>
      <c r="BV65">
        <v>0</v>
      </c>
      <c r="BW65">
        <v>0</v>
      </c>
      <c r="BX65">
        <v>1</v>
      </c>
      <c r="CA65">
        <v>0</v>
      </c>
      <c r="CB65">
        <v>0</v>
      </c>
      <c r="CC65">
        <v>0</v>
      </c>
      <c r="CM65" t="str">
        <f>"17:41:15.678"</f>
        <v>17:41:15.678</v>
      </c>
      <c r="CN65">
        <v>678308769</v>
      </c>
      <c r="CQ65">
        <v>0</v>
      </c>
      <c r="CR65">
        <v>4000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2</v>
      </c>
      <c r="DC65">
        <v>0</v>
      </c>
      <c r="DD65">
        <v>2</v>
      </c>
      <c r="DE65">
        <v>0</v>
      </c>
      <c r="DF65">
        <v>7</v>
      </c>
      <c r="DG65">
        <v>7</v>
      </c>
      <c r="DH65" t="s">
        <v>124</v>
      </c>
      <c r="DI65">
        <v>71</v>
      </c>
      <c r="DJ65">
        <v>2</v>
      </c>
      <c r="DK65" t="s">
        <v>134</v>
      </c>
      <c r="DL65" t="s">
        <v>135</v>
      </c>
      <c r="DO65">
        <v>752089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</row>
    <row r="66" spans="1:131" x14ac:dyDescent="0.35">
      <c r="A66" s="2" t="str">
        <f>"17:41:16.958"</f>
        <v>17:41:16.958</v>
      </c>
      <c r="B66" s="4">
        <f t="shared" si="9"/>
        <v>63676.957999999999</v>
      </c>
      <c r="C66" s="4">
        <f t="shared" si="3"/>
        <v>76.957999999998719</v>
      </c>
      <c r="D66" s="3">
        <f t="shared" si="4"/>
        <v>0.73700182870370368</v>
      </c>
      <c r="E66" s="2">
        <f t="shared" si="5"/>
        <v>0.73700182870370368</v>
      </c>
      <c r="G66" t="str">
        <f t="shared" si="0"/>
        <v>FFDFD7C0</v>
      </c>
      <c r="H66" t="s">
        <v>126</v>
      </c>
      <c r="I66">
        <v>8</v>
      </c>
      <c r="J66">
        <v>1008</v>
      </c>
      <c r="K66" t="s">
        <v>129</v>
      </c>
      <c r="N66" t="s">
        <v>127</v>
      </c>
      <c r="O66">
        <v>0</v>
      </c>
      <c r="P66">
        <v>3</v>
      </c>
      <c r="Q66">
        <v>0</v>
      </c>
      <c r="R66">
        <v>2</v>
      </c>
      <c r="S66">
        <v>1</v>
      </c>
      <c r="T66">
        <v>0</v>
      </c>
      <c r="U66">
        <v>0</v>
      </c>
      <c r="W66" t="str">
        <f>"17:41:16.695"</f>
        <v>17:41:16.695</v>
      </c>
      <c r="X66" t="str">
        <f>"17:41:16.395"</f>
        <v>17:41:16.395</v>
      </c>
      <c r="Y66" t="str">
        <f t="shared" si="1"/>
        <v>A7C771</v>
      </c>
      <c r="Z66">
        <v>0</v>
      </c>
      <c r="AA66">
        <v>0</v>
      </c>
      <c r="AB66">
        <v>2</v>
      </c>
      <c r="AC66">
        <v>0</v>
      </c>
      <c r="AE66">
        <v>0</v>
      </c>
      <c r="AF66">
        <v>8</v>
      </c>
      <c r="AG66">
        <v>3</v>
      </c>
      <c r="AH66">
        <v>0</v>
      </c>
      <c r="AI66">
        <v>9</v>
      </c>
      <c r="AJ66" t="s">
        <v>125</v>
      </c>
      <c r="AK66">
        <v>0</v>
      </c>
      <c r="AL66">
        <v>3</v>
      </c>
      <c r="AM66">
        <v>2</v>
      </c>
      <c r="AN66">
        <v>1</v>
      </c>
      <c r="AO66" t="s">
        <v>266</v>
      </c>
      <c r="AP66">
        <v>42.772565</v>
      </c>
      <c r="AQ66" t="s">
        <v>267</v>
      </c>
      <c r="AR66">
        <v>-77.694818999999995</v>
      </c>
      <c r="AS66">
        <v>25</v>
      </c>
      <c r="AT66">
        <v>3600</v>
      </c>
      <c r="AU66" t="s">
        <v>123</v>
      </c>
      <c r="AV66">
        <v>92</v>
      </c>
      <c r="AW66">
        <v>161</v>
      </c>
      <c r="AX66">
        <v>-128</v>
      </c>
      <c r="AZ66">
        <f t="shared" si="6"/>
        <v>8464</v>
      </c>
      <c r="BA66">
        <f t="shared" si="7"/>
        <v>25921</v>
      </c>
      <c r="BB66" s="1">
        <f t="shared" si="8"/>
        <v>185.43192821086663</v>
      </c>
      <c r="BJ66">
        <v>1404</v>
      </c>
      <c r="BK66">
        <v>1</v>
      </c>
      <c r="BL66" t="str">
        <f t="shared" si="2"/>
        <v xml:space="preserve">N600C   </v>
      </c>
      <c r="BM66">
        <v>2</v>
      </c>
      <c r="BO66">
        <v>0</v>
      </c>
      <c r="BP66">
        <v>0</v>
      </c>
      <c r="BQ66">
        <v>0</v>
      </c>
      <c r="BR66">
        <v>3700</v>
      </c>
      <c r="BS66">
        <v>100</v>
      </c>
      <c r="BT66" t="s">
        <v>128</v>
      </c>
      <c r="BU66">
        <v>0</v>
      </c>
      <c r="BV66">
        <v>0</v>
      </c>
      <c r="BW66">
        <v>0</v>
      </c>
      <c r="BX66">
        <v>1</v>
      </c>
      <c r="CA66">
        <v>0</v>
      </c>
      <c r="CB66">
        <v>0</v>
      </c>
      <c r="CC66">
        <v>0</v>
      </c>
      <c r="CM66" t="str">
        <f>"17:41:16.703"</f>
        <v>17:41:16.703</v>
      </c>
      <c r="CN66">
        <v>702500117</v>
      </c>
      <c r="CQ66">
        <v>0</v>
      </c>
      <c r="CR66">
        <v>4000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2</v>
      </c>
      <c r="DC66">
        <v>0</v>
      </c>
      <c r="DD66">
        <v>2</v>
      </c>
      <c r="DE66">
        <v>0</v>
      </c>
      <c r="DF66">
        <v>7</v>
      </c>
      <c r="DG66">
        <v>7</v>
      </c>
      <c r="DH66" t="s">
        <v>124</v>
      </c>
      <c r="DI66">
        <v>71</v>
      </c>
      <c r="DJ66">
        <v>1</v>
      </c>
      <c r="DK66" t="s">
        <v>134</v>
      </c>
      <c r="DL66" t="s">
        <v>135</v>
      </c>
      <c r="DO66">
        <v>11264596</v>
      </c>
      <c r="DQ66">
        <v>0</v>
      </c>
      <c r="DR66">
        <v>0</v>
      </c>
      <c r="DS66">
        <v>1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</row>
    <row r="67" spans="1:131" x14ac:dyDescent="0.35">
      <c r="A67" s="2" t="str">
        <f>"17:41:18.178"</f>
        <v>17:41:18.178</v>
      </c>
      <c r="B67" s="4">
        <f t="shared" si="9"/>
        <v>63678.178</v>
      </c>
      <c r="C67" s="4">
        <f t="shared" si="3"/>
        <v>78.177999999999884</v>
      </c>
      <c r="D67" s="3">
        <f t="shared" si="4"/>
        <v>0.73701594907407408</v>
      </c>
      <c r="E67" s="2">
        <f t="shared" si="5"/>
        <v>0.73701594907407408</v>
      </c>
      <c r="G67" t="str">
        <f t="shared" ref="G67:G130" si="10">"FFDFD7C0"</f>
        <v>FFDFD7C0</v>
      </c>
      <c r="H67" t="s">
        <v>126</v>
      </c>
      <c r="I67">
        <v>8</v>
      </c>
      <c r="J67">
        <v>1008</v>
      </c>
      <c r="K67" t="s">
        <v>129</v>
      </c>
      <c r="N67" t="s">
        <v>127</v>
      </c>
      <c r="O67">
        <v>0</v>
      </c>
      <c r="P67">
        <v>3</v>
      </c>
      <c r="Q67">
        <v>0</v>
      </c>
      <c r="R67">
        <v>2</v>
      </c>
      <c r="S67">
        <v>1</v>
      </c>
      <c r="T67">
        <v>0</v>
      </c>
      <c r="U67">
        <v>0</v>
      </c>
      <c r="W67" t="str">
        <f>"17:41:17.844"</f>
        <v>17:41:17.844</v>
      </c>
      <c r="X67" t="str">
        <f>"17:41:17.344"</f>
        <v>17:41:17.344</v>
      </c>
      <c r="Y67" t="str">
        <f t="shared" ref="Y67:Y130" si="11">"A7C771"</f>
        <v>A7C771</v>
      </c>
      <c r="Z67">
        <v>0</v>
      </c>
      <c r="AA67">
        <v>0</v>
      </c>
      <c r="AB67">
        <v>2</v>
      </c>
      <c r="AC67">
        <v>0</v>
      </c>
      <c r="AE67">
        <v>0</v>
      </c>
      <c r="AF67">
        <v>8</v>
      </c>
      <c r="AG67">
        <v>3</v>
      </c>
      <c r="AH67">
        <v>0</v>
      </c>
      <c r="AI67">
        <v>9</v>
      </c>
      <c r="AJ67" t="s">
        <v>125</v>
      </c>
      <c r="AK67">
        <v>0</v>
      </c>
      <c r="AL67">
        <v>3</v>
      </c>
      <c r="AM67">
        <v>2</v>
      </c>
      <c r="AN67">
        <v>1</v>
      </c>
      <c r="AO67" t="s">
        <v>268</v>
      </c>
      <c r="AP67">
        <v>42.773401999999997</v>
      </c>
      <c r="AQ67" t="s">
        <v>269</v>
      </c>
      <c r="AR67">
        <v>-77.694153999999997</v>
      </c>
      <c r="AS67">
        <v>25</v>
      </c>
      <c r="AT67">
        <v>3575</v>
      </c>
      <c r="AU67" t="s">
        <v>123</v>
      </c>
      <c r="AV67">
        <v>92</v>
      </c>
      <c r="AW67">
        <v>161</v>
      </c>
      <c r="AX67">
        <v>-64</v>
      </c>
      <c r="AZ67">
        <f t="shared" si="6"/>
        <v>8464</v>
      </c>
      <c r="BA67">
        <f t="shared" si="7"/>
        <v>25921</v>
      </c>
      <c r="BB67" s="1">
        <f t="shared" si="8"/>
        <v>185.43192821086663</v>
      </c>
      <c r="BJ67">
        <v>1404</v>
      </c>
      <c r="BK67">
        <v>1</v>
      </c>
      <c r="BL67" t="str">
        <f t="shared" ref="BL67:BL130" si="12">"N600C   "</f>
        <v xml:space="preserve">N600C   </v>
      </c>
      <c r="BM67">
        <v>2</v>
      </c>
      <c r="BO67">
        <v>0</v>
      </c>
      <c r="BP67">
        <v>0</v>
      </c>
      <c r="BQ67">
        <v>0</v>
      </c>
      <c r="BR67">
        <v>3675</v>
      </c>
      <c r="BS67">
        <v>100</v>
      </c>
      <c r="BT67" t="s">
        <v>128</v>
      </c>
      <c r="BU67">
        <v>0</v>
      </c>
      <c r="BV67">
        <v>0</v>
      </c>
      <c r="BW67">
        <v>0</v>
      </c>
      <c r="BX67">
        <v>1</v>
      </c>
      <c r="CA67">
        <v>0</v>
      </c>
      <c r="CB67">
        <v>0</v>
      </c>
      <c r="CC67">
        <v>0</v>
      </c>
      <c r="CM67" t="str">
        <f>"17:41:17.847"</f>
        <v>17:41:17.847</v>
      </c>
      <c r="CN67">
        <v>846701101</v>
      </c>
      <c r="CQ67">
        <v>0</v>
      </c>
      <c r="CR67">
        <v>4000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2</v>
      </c>
      <c r="DC67">
        <v>0</v>
      </c>
      <c r="DD67">
        <v>2</v>
      </c>
      <c r="DE67">
        <v>0</v>
      </c>
      <c r="DF67">
        <v>7</v>
      </c>
      <c r="DG67">
        <v>7</v>
      </c>
      <c r="DH67" t="s">
        <v>124</v>
      </c>
      <c r="DI67">
        <v>71</v>
      </c>
      <c r="DJ67">
        <v>2</v>
      </c>
      <c r="DK67" t="s">
        <v>134</v>
      </c>
      <c r="DL67" t="s">
        <v>135</v>
      </c>
      <c r="DO67">
        <v>754189</v>
      </c>
      <c r="DQ67">
        <v>0</v>
      </c>
      <c r="DR67">
        <v>0</v>
      </c>
      <c r="DS67">
        <v>1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</row>
    <row r="68" spans="1:131" x14ac:dyDescent="0.35">
      <c r="A68" s="2" t="str">
        <f>"17:41:19.020"</f>
        <v>17:41:19.020</v>
      </c>
      <c r="B68" s="4">
        <f t="shared" si="9"/>
        <v>63679.02</v>
      </c>
      <c r="C68" s="4">
        <f t="shared" ref="C68:C131" si="13">B68-63600</f>
        <v>79.019999999996799</v>
      </c>
      <c r="D68" s="3">
        <f t="shared" ref="D68:D131" si="14">E68</f>
        <v>0.73702569444444443</v>
      </c>
      <c r="E68" s="2">
        <f t="shared" ref="E68:E131" si="15">TIMEVALUE(A68)</f>
        <v>0.73702569444444443</v>
      </c>
      <c r="G68" t="str">
        <f t="shared" si="10"/>
        <v>FFDFD7C0</v>
      </c>
      <c r="H68" t="s">
        <v>126</v>
      </c>
      <c r="I68">
        <v>8</v>
      </c>
      <c r="J68">
        <v>1008</v>
      </c>
      <c r="K68" t="s">
        <v>129</v>
      </c>
      <c r="N68" t="s">
        <v>127</v>
      </c>
      <c r="O68">
        <v>0</v>
      </c>
      <c r="P68">
        <v>3</v>
      </c>
      <c r="Q68">
        <v>0</v>
      </c>
      <c r="R68">
        <v>2</v>
      </c>
      <c r="S68">
        <v>1</v>
      </c>
      <c r="T68">
        <v>0</v>
      </c>
      <c r="U68">
        <v>0</v>
      </c>
      <c r="W68" t="str">
        <f>"17:41:18.703"</f>
        <v>17:41:18.703</v>
      </c>
      <c r="X68" t="str">
        <f>"17:41:18.503"</f>
        <v>17:41:18.503</v>
      </c>
      <c r="Y68" t="str">
        <f t="shared" si="11"/>
        <v>A7C771</v>
      </c>
      <c r="Z68">
        <v>0</v>
      </c>
      <c r="AA68">
        <v>0</v>
      </c>
      <c r="AB68">
        <v>2</v>
      </c>
      <c r="AC68">
        <v>0</v>
      </c>
      <c r="AE68">
        <v>0</v>
      </c>
      <c r="AF68">
        <v>8</v>
      </c>
      <c r="AG68">
        <v>3</v>
      </c>
      <c r="AH68">
        <v>0</v>
      </c>
      <c r="AI68">
        <v>9</v>
      </c>
      <c r="AJ68" t="s">
        <v>125</v>
      </c>
      <c r="AK68">
        <v>0</v>
      </c>
      <c r="AL68">
        <v>3</v>
      </c>
      <c r="AM68">
        <v>2</v>
      </c>
      <c r="AN68">
        <v>1</v>
      </c>
      <c r="AO68" t="s">
        <v>270</v>
      </c>
      <c r="AP68">
        <v>42.774023999999997</v>
      </c>
      <c r="AQ68" t="s">
        <v>271</v>
      </c>
      <c r="AR68">
        <v>-77.693681999999995</v>
      </c>
      <c r="AS68">
        <v>25</v>
      </c>
      <c r="AT68">
        <v>3575</v>
      </c>
      <c r="AU68" t="s">
        <v>123</v>
      </c>
      <c r="AV68">
        <v>91</v>
      </c>
      <c r="AW68">
        <v>159</v>
      </c>
      <c r="AX68">
        <v>-128</v>
      </c>
      <c r="AZ68">
        <f t="shared" ref="AZ68:AZ131" si="16">(AV68)^2</f>
        <v>8281</v>
      </c>
      <c r="BA68">
        <f t="shared" ref="BA68:BA131" si="17">(AW68)^2</f>
        <v>25281</v>
      </c>
      <c r="BB68" s="1">
        <f t="shared" ref="BB68:BB131" si="18">SQRT(AZ68+BA68)</f>
        <v>183.19934497699495</v>
      </c>
      <c r="BJ68">
        <v>1404</v>
      </c>
      <c r="BK68">
        <v>1</v>
      </c>
      <c r="BL68" t="str">
        <f t="shared" si="12"/>
        <v xml:space="preserve">N600C   </v>
      </c>
      <c r="BM68">
        <v>2</v>
      </c>
      <c r="BO68">
        <v>0</v>
      </c>
      <c r="BP68">
        <v>0</v>
      </c>
      <c r="BQ68">
        <v>0</v>
      </c>
      <c r="BR68">
        <v>3675</v>
      </c>
      <c r="BS68">
        <v>100</v>
      </c>
      <c r="BT68" t="s">
        <v>128</v>
      </c>
      <c r="BU68">
        <v>0</v>
      </c>
      <c r="BV68">
        <v>0</v>
      </c>
      <c r="BW68">
        <v>0</v>
      </c>
      <c r="BX68">
        <v>1</v>
      </c>
      <c r="CA68">
        <v>0</v>
      </c>
      <c r="CB68">
        <v>0</v>
      </c>
      <c r="CC68">
        <v>0</v>
      </c>
      <c r="CM68" t="str">
        <f>"17:41:18.711"</f>
        <v>17:41:18.711</v>
      </c>
      <c r="CN68">
        <v>710863420</v>
      </c>
      <c r="CQ68">
        <v>0</v>
      </c>
      <c r="CR68">
        <v>4000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2</v>
      </c>
      <c r="DC68">
        <v>0</v>
      </c>
      <c r="DD68">
        <v>2</v>
      </c>
      <c r="DE68">
        <v>0</v>
      </c>
      <c r="DF68">
        <v>7</v>
      </c>
      <c r="DG68">
        <v>7</v>
      </c>
      <c r="DH68" t="s">
        <v>124</v>
      </c>
      <c r="DI68">
        <v>71</v>
      </c>
      <c r="DJ68">
        <v>2</v>
      </c>
      <c r="DK68" t="s">
        <v>134</v>
      </c>
      <c r="DL68" t="s">
        <v>135</v>
      </c>
      <c r="DO68">
        <v>754983</v>
      </c>
      <c r="DQ68">
        <v>0</v>
      </c>
      <c r="DR68">
        <v>0</v>
      </c>
      <c r="DS68">
        <v>1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</row>
    <row r="69" spans="1:131" x14ac:dyDescent="0.35">
      <c r="A69" s="2" t="str">
        <f>"17:41:20.692"</f>
        <v>17:41:20.692</v>
      </c>
      <c r="B69" s="4">
        <f t="shared" si="9"/>
        <v>63680.692000000003</v>
      </c>
      <c r="C69" s="4">
        <f t="shared" si="13"/>
        <v>80.692000000002736</v>
      </c>
      <c r="D69" s="3">
        <f t="shared" si="14"/>
        <v>0.7370450462962963</v>
      </c>
      <c r="E69" s="2">
        <f t="shared" si="15"/>
        <v>0.7370450462962963</v>
      </c>
      <c r="G69" t="str">
        <f t="shared" si="10"/>
        <v>FFDFD7C0</v>
      </c>
      <c r="H69" t="s">
        <v>126</v>
      </c>
      <c r="I69">
        <v>8</v>
      </c>
      <c r="J69">
        <v>1008</v>
      </c>
      <c r="K69" t="s">
        <v>129</v>
      </c>
      <c r="N69" t="s">
        <v>127</v>
      </c>
      <c r="O69">
        <v>0</v>
      </c>
      <c r="P69">
        <v>3</v>
      </c>
      <c r="Q69">
        <v>0</v>
      </c>
      <c r="R69">
        <v>2</v>
      </c>
      <c r="S69">
        <v>1</v>
      </c>
      <c r="T69">
        <v>0</v>
      </c>
      <c r="U69">
        <v>0</v>
      </c>
      <c r="W69" t="str">
        <f>"17:41:20.477"</f>
        <v>17:41:20.477</v>
      </c>
      <c r="X69" t="str">
        <f>"17:41:20.077"</f>
        <v>17:41:20.077</v>
      </c>
      <c r="Y69" t="str">
        <f t="shared" si="11"/>
        <v>A7C771</v>
      </c>
      <c r="Z69">
        <v>0</v>
      </c>
      <c r="AA69">
        <v>0</v>
      </c>
      <c r="AB69">
        <v>2</v>
      </c>
      <c r="AC69">
        <v>0</v>
      </c>
      <c r="AE69">
        <v>0</v>
      </c>
      <c r="AF69">
        <v>8</v>
      </c>
      <c r="AG69">
        <v>3</v>
      </c>
      <c r="AH69">
        <v>0</v>
      </c>
      <c r="AI69">
        <v>9</v>
      </c>
      <c r="AJ69" t="s">
        <v>125</v>
      </c>
      <c r="AK69">
        <v>0</v>
      </c>
      <c r="AL69">
        <v>3</v>
      </c>
      <c r="AM69">
        <v>2</v>
      </c>
      <c r="AN69">
        <v>1</v>
      </c>
      <c r="AO69" t="s">
        <v>272</v>
      </c>
      <c r="AP69">
        <v>42.775269000000002</v>
      </c>
      <c r="AQ69" t="s">
        <v>273</v>
      </c>
      <c r="AR69">
        <v>-77.692695000000001</v>
      </c>
      <c r="AS69">
        <v>25</v>
      </c>
      <c r="AT69">
        <v>3575</v>
      </c>
      <c r="AU69" t="s">
        <v>123</v>
      </c>
      <c r="AV69">
        <v>90</v>
      </c>
      <c r="AW69">
        <v>158</v>
      </c>
      <c r="AX69">
        <v>-64</v>
      </c>
      <c r="AZ69">
        <f t="shared" si="16"/>
        <v>8100</v>
      </c>
      <c r="BA69">
        <f t="shared" si="17"/>
        <v>24964</v>
      </c>
      <c r="BB69" s="1">
        <f t="shared" si="18"/>
        <v>181.8350901228913</v>
      </c>
      <c r="BJ69">
        <v>1404</v>
      </c>
      <c r="BK69">
        <v>1</v>
      </c>
      <c r="BL69" t="str">
        <f t="shared" si="12"/>
        <v xml:space="preserve">N600C   </v>
      </c>
      <c r="BM69">
        <v>2</v>
      </c>
      <c r="BO69">
        <v>0</v>
      </c>
      <c r="BP69">
        <v>0</v>
      </c>
      <c r="BQ69">
        <v>0</v>
      </c>
      <c r="BR69">
        <v>3675</v>
      </c>
      <c r="BS69">
        <v>100</v>
      </c>
      <c r="BT69" t="s">
        <v>128</v>
      </c>
      <c r="BU69">
        <v>0</v>
      </c>
      <c r="BV69">
        <v>0</v>
      </c>
      <c r="BW69">
        <v>0</v>
      </c>
      <c r="BX69">
        <v>1</v>
      </c>
      <c r="CA69">
        <v>0.04</v>
      </c>
      <c r="CB69">
        <v>0</v>
      </c>
      <c r="CC69">
        <v>0</v>
      </c>
      <c r="CM69" t="str">
        <f>"17:41:20.479"</f>
        <v>17:41:20.479</v>
      </c>
      <c r="CN69">
        <v>479187489</v>
      </c>
      <c r="CQ69">
        <v>0</v>
      </c>
      <c r="CR69">
        <v>4000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2</v>
      </c>
      <c r="DC69">
        <v>0</v>
      </c>
      <c r="DD69">
        <v>2</v>
      </c>
      <c r="DE69">
        <v>0</v>
      </c>
      <c r="DF69">
        <v>7</v>
      </c>
      <c r="DG69">
        <v>7</v>
      </c>
      <c r="DH69" t="s">
        <v>124</v>
      </c>
      <c r="DI69">
        <v>71</v>
      </c>
      <c r="DJ69">
        <v>1</v>
      </c>
      <c r="DK69" t="s">
        <v>134</v>
      </c>
      <c r="DL69" t="s">
        <v>135</v>
      </c>
      <c r="DO69">
        <v>11267874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</row>
    <row r="70" spans="1:131" x14ac:dyDescent="0.35">
      <c r="A70" s="2" t="str">
        <f>"17:41:21.817"</f>
        <v>17:41:21.817</v>
      </c>
      <c r="B70" s="4">
        <f t="shared" si="9"/>
        <v>63681.817000000003</v>
      </c>
      <c r="C70" s="4">
        <f t="shared" si="13"/>
        <v>81.817000000002736</v>
      </c>
      <c r="D70" s="3">
        <f t="shared" si="14"/>
        <v>0.73705806712962962</v>
      </c>
      <c r="E70" s="2">
        <f t="shared" si="15"/>
        <v>0.73705806712962962</v>
      </c>
      <c r="G70" t="str">
        <f t="shared" si="10"/>
        <v>FFDFD7C0</v>
      </c>
      <c r="H70" t="s">
        <v>126</v>
      </c>
      <c r="I70">
        <v>8</v>
      </c>
      <c r="J70">
        <v>1008</v>
      </c>
      <c r="K70" t="s">
        <v>129</v>
      </c>
      <c r="N70" t="s">
        <v>127</v>
      </c>
      <c r="O70">
        <v>0</v>
      </c>
      <c r="P70">
        <v>3</v>
      </c>
      <c r="Q70">
        <v>0</v>
      </c>
      <c r="R70">
        <v>2</v>
      </c>
      <c r="S70">
        <v>1</v>
      </c>
      <c r="T70">
        <v>0</v>
      </c>
      <c r="U70">
        <v>0</v>
      </c>
      <c r="W70" t="str">
        <f>"17:41:21.563"</f>
        <v>17:41:21.563</v>
      </c>
      <c r="X70" t="str">
        <f>"17:41:21.563"</f>
        <v>17:41:21.563</v>
      </c>
      <c r="Y70" t="str">
        <f t="shared" si="11"/>
        <v>A7C771</v>
      </c>
      <c r="Z70">
        <v>0</v>
      </c>
      <c r="AA70">
        <v>0</v>
      </c>
      <c r="AB70">
        <v>2</v>
      </c>
      <c r="AC70">
        <v>0</v>
      </c>
      <c r="AE70">
        <v>0</v>
      </c>
      <c r="AF70">
        <v>8</v>
      </c>
      <c r="AG70">
        <v>3</v>
      </c>
      <c r="AH70">
        <v>0</v>
      </c>
      <c r="AI70">
        <v>9</v>
      </c>
      <c r="AJ70" t="s">
        <v>125</v>
      </c>
      <c r="AK70">
        <v>0</v>
      </c>
      <c r="AL70">
        <v>3</v>
      </c>
      <c r="AM70">
        <v>2</v>
      </c>
      <c r="AN70">
        <v>1</v>
      </c>
      <c r="AO70" t="s">
        <v>274</v>
      </c>
      <c r="AP70">
        <v>42.776083999999997</v>
      </c>
      <c r="AQ70" t="s">
        <v>275</v>
      </c>
      <c r="AR70">
        <v>-77.692071999999996</v>
      </c>
      <c r="AS70">
        <v>25</v>
      </c>
      <c r="AT70">
        <v>3575</v>
      </c>
      <c r="AU70" t="s">
        <v>123</v>
      </c>
      <c r="AV70">
        <v>89</v>
      </c>
      <c r="AW70">
        <v>157</v>
      </c>
      <c r="AX70">
        <v>-64</v>
      </c>
      <c r="AZ70">
        <f t="shared" si="16"/>
        <v>7921</v>
      </c>
      <c r="BA70">
        <f t="shared" si="17"/>
        <v>24649</v>
      </c>
      <c r="BB70" s="1">
        <f t="shared" si="18"/>
        <v>180.47160441465576</v>
      </c>
      <c r="BJ70">
        <v>1404</v>
      </c>
      <c r="BK70">
        <v>1</v>
      </c>
      <c r="BL70" t="str">
        <f t="shared" si="12"/>
        <v xml:space="preserve">N600C   </v>
      </c>
      <c r="BM70">
        <v>2</v>
      </c>
      <c r="BO70">
        <v>0</v>
      </c>
      <c r="BP70">
        <v>0</v>
      </c>
      <c r="BQ70">
        <v>0</v>
      </c>
      <c r="BR70">
        <v>3675</v>
      </c>
      <c r="BS70">
        <v>100</v>
      </c>
      <c r="BT70" t="s">
        <v>128</v>
      </c>
      <c r="BU70">
        <v>0</v>
      </c>
      <c r="BV70">
        <v>0</v>
      </c>
      <c r="BW70">
        <v>0</v>
      </c>
      <c r="BX70">
        <v>1</v>
      </c>
      <c r="CA70">
        <v>0.04</v>
      </c>
      <c r="CB70">
        <v>0</v>
      </c>
      <c r="CC70">
        <v>0</v>
      </c>
      <c r="CM70" t="str">
        <f>"17:41:21.567"</f>
        <v>17:41:21.567</v>
      </c>
      <c r="CN70">
        <v>567390418</v>
      </c>
      <c r="CQ70">
        <v>0</v>
      </c>
      <c r="CR70">
        <v>4000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2</v>
      </c>
      <c r="DC70">
        <v>0</v>
      </c>
      <c r="DD70">
        <v>2</v>
      </c>
      <c r="DE70">
        <v>0</v>
      </c>
      <c r="DF70">
        <v>7</v>
      </c>
      <c r="DG70">
        <v>7</v>
      </c>
      <c r="DH70" t="s">
        <v>124</v>
      </c>
      <c r="DI70">
        <v>71</v>
      </c>
      <c r="DJ70">
        <v>1</v>
      </c>
      <c r="DK70" t="s">
        <v>134</v>
      </c>
      <c r="DL70" t="s">
        <v>135</v>
      </c>
      <c r="DO70">
        <v>11268851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</row>
    <row r="71" spans="1:131" x14ac:dyDescent="0.35">
      <c r="A71" s="2" t="str">
        <f>"17:41:22.708"</f>
        <v>17:41:22.708</v>
      </c>
      <c r="B71" s="4">
        <f t="shared" ref="B71:B134" si="19">E71*86400</f>
        <v>63682.707999999991</v>
      </c>
      <c r="C71" s="4">
        <f t="shared" si="13"/>
        <v>82.707999999991443</v>
      </c>
      <c r="D71" s="3">
        <f t="shared" si="14"/>
        <v>0.73706837962962957</v>
      </c>
      <c r="E71" s="2">
        <f t="shared" si="15"/>
        <v>0.73706837962962957</v>
      </c>
      <c r="G71" t="str">
        <f t="shared" si="10"/>
        <v>FFDFD7C0</v>
      </c>
      <c r="H71" t="s">
        <v>126</v>
      </c>
      <c r="I71">
        <v>8</v>
      </c>
      <c r="J71">
        <v>1008</v>
      </c>
      <c r="K71" t="s">
        <v>129</v>
      </c>
      <c r="N71" t="s">
        <v>127</v>
      </c>
      <c r="O71">
        <v>0</v>
      </c>
      <c r="P71">
        <v>3</v>
      </c>
      <c r="Q71">
        <v>0</v>
      </c>
      <c r="R71">
        <v>2</v>
      </c>
      <c r="S71">
        <v>1</v>
      </c>
      <c r="T71">
        <v>0</v>
      </c>
      <c r="U71">
        <v>0</v>
      </c>
      <c r="W71" t="str">
        <f>"17:41:22.445"</f>
        <v>17:41:22.445</v>
      </c>
      <c r="X71" t="str">
        <f>"17:41:22.045"</f>
        <v>17:41:22.045</v>
      </c>
      <c r="Y71" t="str">
        <f t="shared" si="11"/>
        <v>A7C771</v>
      </c>
      <c r="Z71">
        <v>0</v>
      </c>
      <c r="AA71">
        <v>0</v>
      </c>
      <c r="AB71">
        <v>2</v>
      </c>
      <c r="AC71">
        <v>0</v>
      </c>
      <c r="AE71">
        <v>0</v>
      </c>
      <c r="AF71">
        <v>8</v>
      </c>
      <c r="AG71">
        <v>3</v>
      </c>
      <c r="AH71">
        <v>0</v>
      </c>
      <c r="AI71">
        <v>9</v>
      </c>
      <c r="AJ71" t="s">
        <v>125</v>
      </c>
      <c r="AK71">
        <v>0</v>
      </c>
      <c r="AL71">
        <v>3</v>
      </c>
      <c r="AM71">
        <v>2</v>
      </c>
      <c r="AN71">
        <v>1</v>
      </c>
      <c r="AO71" t="s">
        <v>276</v>
      </c>
      <c r="AP71">
        <v>42.776705999999997</v>
      </c>
      <c r="AQ71" t="s">
        <v>277</v>
      </c>
      <c r="AR71">
        <v>-77.691599999999994</v>
      </c>
      <c r="AS71">
        <v>25</v>
      </c>
      <c r="AT71">
        <v>3575</v>
      </c>
      <c r="AU71" t="s">
        <v>123</v>
      </c>
      <c r="AV71">
        <v>89</v>
      </c>
      <c r="AW71">
        <v>157</v>
      </c>
      <c r="AX71">
        <v>-64</v>
      </c>
      <c r="AZ71">
        <f t="shared" si="16"/>
        <v>7921</v>
      </c>
      <c r="BA71">
        <f t="shared" si="17"/>
        <v>24649</v>
      </c>
      <c r="BB71" s="1">
        <f t="shared" si="18"/>
        <v>180.47160441465576</v>
      </c>
      <c r="BJ71">
        <v>1404</v>
      </c>
      <c r="BK71">
        <v>1</v>
      </c>
      <c r="BL71" t="str">
        <f t="shared" si="12"/>
        <v xml:space="preserve">N600C   </v>
      </c>
      <c r="BM71">
        <v>2</v>
      </c>
      <c r="BO71">
        <v>0</v>
      </c>
      <c r="BP71">
        <v>0</v>
      </c>
      <c r="BQ71">
        <v>0</v>
      </c>
      <c r="BR71">
        <v>3675</v>
      </c>
      <c r="BS71">
        <v>100</v>
      </c>
      <c r="BT71" t="s">
        <v>128</v>
      </c>
      <c r="BU71">
        <v>0</v>
      </c>
      <c r="BV71">
        <v>0</v>
      </c>
      <c r="BW71">
        <v>0</v>
      </c>
      <c r="BX71">
        <v>1</v>
      </c>
      <c r="CA71">
        <v>0</v>
      </c>
      <c r="CB71">
        <v>0</v>
      </c>
      <c r="CC71">
        <v>0</v>
      </c>
      <c r="CM71" t="str">
        <f>"17:41:22.448"</f>
        <v>17:41:22.448</v>
      </c>
      <c r="CN71">
        <v>447552752</v>
      </c>
      <c r="CQ71">
        <v>0</v>
      </c>
      <c r="CR71">
        <v>4000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2</v>
      </c>
      <c r="DC71">
        <v>0</v>
      </c>
      <c r="DD71">
        <v>2</v>
      </c>
      <c r="DE71">
        <v>0</v>
      </c>
      <c r="DF71">
        <v>7</v>
      </c>
      <c r="DG71">
        <v>7</v>
      </c>
      <c r="DH71" t="s">
        <v>124</v>
      </c>
      <c r="DI71">
        <v>71</v>
      </c>
      <c r="DJ71">
        <v>2</v>
      </c>
      <c r="DK71" t="s">
        <v>134</v>
      </c>
      <c r="DL71" t="s">
        <v>135</v>
      </c>
      <c r="DO71">
        <v>758506</v>
      </c>
      <c r="DQ71">
        <v>0</v>
      </c>
      <c r="DR71">
        <v>0</v>
      </c>
      <c r="DS71">
        <v>1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</row>
    <row r="72" spans="1:131" x14ac:dyDescent="0.35">
      <c r="A72" s="2" t="str">
        <f>"17:41:23.693"</f>
        <v>17:41:23.693</v>
      </c>
      <c r="B72" s="4">
        <f t="shared" si="19"/>
        <v>63683.692999999999</v>
      </c>
      <c r="C72" s="4">
        <f t="shared" si="13"/>
        <v>83.692999999999302</v>
      </c>
      <c r="D72" s="3">
        <f t="shared" si="14"/>
        <v>0.73707978009259256</v>
      </c>
      <c r="E72" s="2">
        <f t="shared" si="15"/>
        <v>0.73707978009259256</v>
      </c>
      <c r="G72" t="str">
        <f t="shared" si="10"/>
        <v>FFDFD7C0</v>
      </c>
      <c r="H72" t="s">
        <v>126</v>
      </c>
      <c r="I72">
        <v>8</v>
      </c>
      <c r="J72">
        <v>1008</v>
      </c>
      <c r="K72" t="s">
        <v>129</v>
      </c>
      <c r="N72" t="s">
        <v>127</v>
      </c>
      <c r="O72">
        <v>0</v>
      </c>
      <c r="P72">
        <v>3</v>
      </c>
      <c r="Q72">
        <v>0</v>
      </c>
      <c r="R72">
        <v>2</v>
      </c>
      <c r="S72">
        <v>1</v>
      </c>
      <c r="T72">
        <v>0</v>
      </c>
      <c r="U72">
        <v>0</v>
      </c>
      <c r="W72" t="str">
        <f>"17:41:23.438"</f>
        <v>17:41:23.438</v>
      </c>
      <c r="X72" t="str">
        <f>"17:41:23.438"</f>
        <v>17:41:23.438</v>
      </c>
      <c r="Y72" t="str">
        <f t="shared" si="11"/>
        <v>A7C771</v>
      </c>
      <c r="Z72">
        <v>0</v>
      </c>
      <c r="AA72">
        <v>0</v>
      </c>
      <c r="AB72">
        <v>2</v>
      </c>
      <c r="AC72">
        <v>0</v>
      </c>
      <c r="AE72">
        <v>0</v>
      </c>
      <c r="AF72">
        <v>8</v>
      </c>
      <c r="AG72">
        <v>3</v>
      </c>
      <c r="AH72">
        <v>0</v>
      </c>
      <c r="AI72">
        <v>9</v>
      </c>
      <c r="AJ72" t="s">
        <v>125</v>
      </c>
      <c r="AK72">
        <v>0</v>
      </c>
      <c r="AL72">
        <v>3</v>
      </c>
      <c r="AM72">
        <v>2</v>
      </c>
      <c r="AN72">
        <v>1</v>
      </c>
      <c r="AO72" t="s">
        <v>278</v>
      </c>
      <c r="AP72">
        <v>42.777456999999998</v>
      </c>
      <c r="AQ72" t="s">
        <v>279</v>
      </c>
      <c r="AR72">
        <v>-77.691041999999996</v>
      </c>
      <c r="AS72">
        <v>25</v>
      </c>
      <c r="AT72">
        <v>3575</v>
      </c>
      <c r="AU72" t="s">
        <v>123</v>
      </c>
      <c r="AV72">
        <v>89</v>
      </c>
      <c r="AW72">
        <v>155</v>
      </c>
      <c r="AX72">
        <v>0</v>
      </c>
      <c r="AZ72">
        <f t="shared" si="16"/>
        <v>7921</v>
      </c>
      <c r="BA72">
        <f t="shared" si="17"/>
        <v>24025</v>
      </c>
      <c r="BB72" s="1">
        <f t="shared" si="18"/>
        <v>178.73443988218946</v>
      </c>
      <c r="BJ72">
        <v>1404</v>
      </c>
      <c r="BK72">
        <v>1</v>
      </c>
      <c r="BL72" t="str">
        <f t="shared" si="12"/>
        <v xml:space="preserve">N600C   </v>
      </c>
      <c r="BM72">
        <v>2</v>
      </c>
      <c r="BO72">
        <v>0</v>
      </c>
      <c r="BP72">
        <v>0</v>
      </c>
      <c r="BQ72">
        <v>0</v>
      </c>
      <c r="BR72">
        <v>3675</v>
      </c>
      <c r="BS72">
        <v>100</v>
      </c>
      <c r="BT72" t="s">
        <v>128</v>
      </c>
      <c r="BU72">
        <v>0</v>
      </c>
      <c r="BV72">
        <v>0</v>
      </c>
      <c r="BW72">
        <v>0</v>
      </c>
      <c r="BX72">
        <v>1</v>
      </c>
      <c r="CA72">
        <v>0</v>
      </c>
      <c r="CB72">
        <v>0</v>
      </c>
      <c r="CC72">
        <v>0</v>
      </c>
      <c r="CM72" t="str">
        <f>"17:41:23.440"</f>
        <v>17:41:23.440</v>
      </c>
      <c r="CN72">
        <v>439732977</v>
      </c>
      <c r="CQ72">
        <v>0</v>
      </c>
      <c r="CR72">
        <v>4000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2</v>
      </c>
      <c r="DC72">
        <v>0</v>
      </c>
      <c r="DD72">
        <v>2</v>
      </c>
      <c r="DE72">
        <v>0</v>
      </c>
      <c r="DF72">
        <v>7</v>
      </c>
      <c r="DG72">
        <v>7</v>
      </c>
      <c r="DH72" t="s">
        <v>124</v>
      </c>
      <c r="DI72">
        <v>71</v>
      </c>
      <c r="DJ72">
        <v>2</v>
      </c>
      <c r="DK72" t="s">
        <v>134</v>
      </c>
      <c r="DL72" t="s">
        <v>135</v>
      </c>
      <c r="DO72">
        <v>759440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</row>
    <row r="73" spans="1:131" x14ac:dyDescent="0.35">
      <c r="A73" s="2" t="str">
        <f>"17:41:24.693"</f>
        <v>17:41:24.693</v>
      </c>
      <c r="B73" s="4">
        <f t="shared" si="19"/>
        <v>63684.693000000007</v>
      </c>
      <c r="C73" s="4">
        <f t="shared" si="13"/>
        <v>84.693000000006577</v>
      </c>
      <c r="D73" s="3">
        <f t="shared" si="14"/>
        <v>0.73709135416666671</v>
      </c>
      <c r="E73" s="2">
        <f t="shared" si="15"/>
        <v>0.73709135416666671</v>
      </c>
      <c r="G73" t="str">
        <f t="shared" si="10"/>
        <v>FFDFD7C0</v>
      </c>
      <c r="H73" t="s">
        <v>126</v>
      </c>
      <c r="I73">
        <v>8</v>
      </c>
      <c r="J73">
        <v>1008</v>
      </c>
      <c r="K73" t="s">
        <v>129</v>
      </c>
      <c r="N73" t="s">
        <v>127</v>
      </c>
      <c r="O73">
        <v>0</v>
      </c>
      <c r="P73">
        <v>3</v>
      </c>
      <c r="Q73">
        <v>0</v>
      </c>
      <c r="R73">
        <v>2</v>
      </c>
      <c r="S73">
        <v>1</v>
      </c>
      <c r="T73">
        <v>0</v>
      </c>
      <c r="U73">
        <v>0</v>
      </c>
      <c r="W73" t="str">
        <f>"17:41:24.375"</f>
        <v>17:41:24.375</v>
      </c>
      <c r="X73" t="str">
        <f>"17:41:24.375"</f>
        <v>17:41:24.375</v>
      </c>
      <c r="Y73" t="str">
        <f t="shared" si="11"/>
        <v>A7C771</v>
      </c>
      <c r="Z73">
        <v>0</v>
      </c>
      <c r="AA73">
        <v>0</v>
      </c>
      <c r="AB73">
        <v>2</v>
      </c>
      <c r="AC73">
        <v>0</v>
      </c>
      <c r="AE73">
        <v>0</v>
      </c>
      <c r="AF73">
        <v>8</v>
      </c>
      <c r="AG73">
        <v>3</v>
      </c>
      <c r="AH73">
        <v>0</v>
      </c>
      <c r="AI73">
        <v>9</v>
      </c>
      <c r="AJ73" t="s">
        <v>125</v>
      </c>
      <c r="AK73">
        <v>0</v>
      </c>
      <c r="AL73">
        <v>3</v>
      </c>
      <c r="AM73">
        <v>2</v>
      </c>
      <c r="AN73">
        <v>1</v>
      </c>
      <c r="AO73" t="s">
        <v>280</v>
      </c>
      <c r="AP73">
        <v>42.778100999999999</v>
      </c>
      <c r="AQ73" t="s">
        <v>281</v>
      </c>
      <c r="AR73">
        <v>-77.690505999999999</v>
      </c>
      <c r="AS73">
        <v>25</v>
      </c>
      <c r="AT73">
        <v>3575</v>
      </c>
      <c r="AU73" t="s">
        <v>123</v>
      </c>
      <c r="AV73">
        <v>89</v>
      </c>
      <c r="AW73">
        <v>155</v>
      </c>
      <c r="AX73">
        <v>0</v>
      </c>
      <c r="AZ73">
        <f t="shared" si="16"/>
        <v>7921</v>
      </c>
      <c r="BA73">
        <f t="shared" si="17"/>
        <v>24025</v>
      </c>
      <c r="BB73" s="1">
        <f t="shared" si="18"/>
        <v>178.73443988218946</v>
      </c>
      <c r="BJ73">
        <v>1404</v>
      </c>
      <c r="BK73">
        <v>1</v>
      </c>
      <c r="BL73" t="str">
        <f t="shared" si="12"/>
        <v xml:space="preserve">N600C   </v>
      </c>
      <c r="BM73">
        <v>2</v>
      </c>
      <c r="BO73">
        <v>0</v>
      </c>
      <c r="BP73">
        <v>0</v>
      </c>
      <c r="BQ73">
        <v>0</v>
      </c>
      <c r="BR73">
        <v>3675</v>
      </c>
      <c r="BS73">
        <v>100</v>
      </c>
      <c r="BT73" t="s">
        <v>128</v>
      </c>
      <c r="BU73">
        <v>0</v>
      </c>
      <c r="BV73">
        <v>0</v>
      </c>
      <c r="BW73">
        <v>0</v>
      </c>
      <c r="BX73">
        <v>1</v>
      </c>
      <c r="CA73">
        <v>0</v>
      </c>
      <c r="CB73">
        <v>0</v>
      </c>
      <c r="CC73">
        <v>0</v>
      </c>
      <c r="CM73" t="str">
        <f>"17:41:24.376"</f>
        <v>17:41:24.376</v>
      </c>
      <c r="CN73">
        <v>375928202</v>
      </c>
      <c r="CQ73">
        <v>0</v>
      </c>
      <c r="CR73">
        <v>4000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2</v>
      </c>
      <c r="DC73">
        <v>0</v>
      </c>
      <c r="DD73">
        <v>2</v>
      </c>
      <c r="DE73">
        <v>0</v>
      </c>
      <c r="DF73">
        <v>7</v>
      </c>
      <c r="DG73">
        <v>7</v>
      </c>
      <c r="DH73" t="s">
        <v>124</v>
      </c>
      <c r="DI73">
        <v>71</v>
      </c>
      <c r="DJ73">
        <v>2</v>
      </c>
      <c r="DK73" t="s">
        <v>134</v>
      </c>
      <c r="DL73" t="s">
        <v>135</v>
      </c>
      <c r="DO73">
        <v>760230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</row>
    <row r="74" spans="1:131" x14ac:dyDescent="0.35">
      <c r="A74" s="2" t="str">
        <f>"17:41:25.662"</f>
        <v>17:41:25.662</v>
      </c>
      <c r="B74" s="4">
        <f t="shared" si="19"/>
        <v>63685.661999999997</v>
      </c>
      <c r="C74" s="4">
        <f t="shared" si="13"/>
        <v>85.661999999996624</v>
      </c>
      <c r="D74" s="3">
        <f t="shared" si="14"/>
        <v>0.73710256944444441</v>
      </c>
      <c r="E74" s="2">
        <f t="shared" si="15"/>
        <v>0.73710256944444441</v>
      </c>
      <c r="G74" t="str">
        <f t="shared" si="10"/>
        <v>FFDFD7C0</v>
      </c>
      <c r="H74" t="s">
        <v>126</v>
      </c>
      <c r="I74">
        <v>8</v>
      </c>
      <c r="J74">
        <v>1008</v>
      </c>
      <c r="K74" t="s">
        <v>129</v>
      </c>
      <c r="N74" t="s">
        <v>127</v>
      </c>
      <c r="O74">
        <v>0</v>
      </c>
      <c r="P74">
        <v>3</v>
      </c>
      <c r="Q74">
        <v>0</v>
      </c>
      <c r="R74">
        <v>2</v>
      </c>
      <c r="S74">
        <v>1</v>
      </c>
      <c r="T74">
        <v>0</v>
      </c>
      <c r="U74">
        <v>0</v>
      </c>
      <c r="W74" t="str">
        <f>"17:41:25.398"</f>
        <v>17:41:25.398</v>
      </c>
      <c r="X74" t="str">
        <f>"17:41:25.298"</f>
        <v>17:41:25.298</v>
      </c>
      <c r="Y74" t="str">
        <f t="shared" si="11"/>
        <v>A7C771</v>
      </c>
      <c r="Z74">
        <v>0</v>
      </c>
      <c r="AA74">
        <v>0</v>
      </c>
      <c r="AB74">
        <v>2</v>
      </c>
      <c r="AC74">
        <v>0</v>
      </c>
      <c r="AE74">
        <v>0</v>
      </c>
      <c r="AF74">
        <v>8</v>
      </c>
      <c r="AG74">
        <v>3</v>
      </c>
      <c r="AH74">
        <v>0</v>
      </c>
      <c r="AI74">
        <v>9</v>
      </c>
      <c r="AJ74" t="s">
        <v>125</v>
      </c>
      <c r="AK74">
        <v>0</v>
      </c>
      <c r="AL74">
        <v>3</v>
      </c>
      <c r="AM74">
        <v>2</v>
      </c>
      <c r="AN74">
        <v>1</v>
      </c>
      <c r="AO74" t="s">
        <v>282</v>
      </c>
      <c r="AP74">
        <v>42.778852000000001</v>
      </c>
      <c r="AQ74" t="s">
        <v>283</v>
      </c>
      <c r="AR74">
        <v>-77.689948000000001</v>
      </c>
      <c r="AS74">
        <v>25</v>
      </c>
      <c r="AT74">
        <v>3575</v>
      </c>
      <c r="AU74" t="s">
        <v>123</v>
      </c>
      <c r="AV74">
        <v>88</v>
      </c>
      <c r="AW74">
        <v>154</v>
      </c>
      <c r="AX74">
        <v>0</v>
      </c>
      <c r="AZ74">
        <f t="shared" si="16"/>
        <v>7744</v>
      </c>
      <c r="BA74">
        <f t="shared" si="17"/>
        <v>23716</v>
      </c>
      <c r="BB74" s="1">
        <f t="shared" si="18"/>
        <v>177.36967046256808</v>
      </c>
      <c r="BJ74">
        <v>1404</v>
      </c>
      <c r="BK74">
        <v>1</v>
      </c>
      <c r="BL74" t="str">
        <f t="shared" si="12"/>
        <v xml:space="preserve">N600C   </v>
      </c>
      <c r="BM74">
        <v>2</v>
      </c>
      <c r="BO74">
        <v>0</v>
      </c>
      <c r="BP74">
        <v>0</v>
      </c>
      <c r="BQ74">
        <v>0</v>
      </c>
      <c r="BR74">
        <v>3675</v>
      </c>
      <c r="BS74">
        <v>100</v>
      </c>
      <c r="BT74" t="s">
        <v>128</v>
      </c>
      <c r="BU74">
        <v>0</v>
      </c>
      <c r="BV74">
        <v>0</v>
      </c>
      <c r="BW74">
        <v>0</v>
      </c>
      <c r="BX74">
        <v>1</v>
      </c>
      <c r="CA74">
        <v>0</v>
      </c>
      <c r="CB74">
        <v>0</v>
      </c>
      <c r="CC74">
        <v>0</v>
      </c>
      <c r="CM74" t="str">
        <f>"17:41:25.400"</f>
        <v>17:41:25.400</v>
      </c>
      <c r="CN74">
        <v>400109259</v>
      </c>
      <c r="CQ74">
        <v>0</v>
      </c>
      <c r="CR74">
        <v>4000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2</v>
      </c>
      <c r="DC74">
        <v>0</v>
      </c>
      <c r="DD74">
        <v>2</v>
      </c>
      <c r="DE74">
        <v>0</v>
      </c>
      <c r="DF74">
        <v>7</v>
      </c>
      <c r="DG74">
        <v>7</v>
      </c>
      <c r="DH74" t="s">
        <v>124</v>
      </c>
      <c r="DI74">
        <v>71</v>
      </c>
      <c r="DJ74">
        <v>1</v>
      </c>
      <c r="DK74" t="s">
        <v>134</v>
      </c>
      <c r="DL74" t="s">
        <v>135</v>
      </c>
      <c r="DO74">
        <v>11272098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</row>
    <row r="75" spans="1:131" x14ac:dyDescent="0.35">
      <c r="A75" s="2" t="str">
        <f>"17:41:26.599"</f>
        <v>17:41:26.599</v>
      </c>
      <c r="B75" s="4">
        <f t="shared" si="19"/>
        <v>63686.599000000002</v>
      </c>
      <c r="C75" s="4">
        <f t="shared" si="13"/>
        <v>86.599000000001979</v>
      </c>
      <c r="D75" s="3">
        <f t="shared" si="14"/>
        <v>0.73711341435185185</v>
      </c>
      <c r="E75" s="2">
        <f t="shared" si="15"/>
        <v>0.73711341435185185</v>
      </c>
      <c r="G75" t="str">
        <f t="shared" si="10"/>
        <v>FFDFD7C0</v>
      </c>
      <c r="H75" t="s">
        <v>126</v>
      </c>
      <c r="I75">
        <v>8</v>
      </c>
      <c r="J75">
        <v>1008</v>
      </c>
      <c r="K75" t="s">
        <v>129</v>
      </c>
      <c r="N75" t="s">
        <v>127</v>
      </c>
      <c r="O75">
        <v>0</v>
      </c>
      <c r="P75">
        <v>3</v>
      </c>
      <c r="Q75">
        <v>0</v>
      </c>
      <c r="R75">
        <v>2</v>
      </c>
      <c r="S75">
        <v>1</v>
      </c>
      <c r="T75">
        <v>0</v>
      </c>
      <c r="U75">
        <v>0</v>
      </c>
      <c r="W75" t="str">
        <f>"17:41:26.281"</f>
        <v>17:41:26.281</v>
      </c>
      <c r="X75" t="str">
        <f>"17:41:26.181"</f>
        <v>17:41:26.181</v>
      </c>
      <c r="Y75" t="str">
        <f t="shared" si="11"/>
        <v>A7C771</v>
      </c>
      <c r="Z75">
        <v>0</v>
      </c>
      <c r="AA75">
        <v>0</v>
      </c>
      <c r="AB75">
        <v>2</v>
      </c>
      <c r="AC75">
        <v>0</v>
      </c>
      <c r="AE75">
        <v>0</v>
      </c>
      <c r="AF75">
        <v>8</v>
      </c>
      <c r="AG75">
        <v>3</v>
      </c>
      <c r="AH75">
        <v>0</v>
      </c>
      <c r="AI75">
        <v>9</v>
      </c>
      <c r="AJ75" t="s">
        <v>125</v>
      </c>
      <c r="AK75">
        <v>0</v>
      </c>
      <c r="AL75">
        <v>3</v>
      </c>
      <c r="AM75">
        <v>2</v>
      </c>
      <c r="AN75">
        <v>1</v>
      </c>
      <c r="AO75" t="s">
        <v>284</v>
      </c>
      <c r="AP75">
        <v>42.779452999999997</v>
      </c>
      <c r="AQ75" t="s">
        <v>285</v>
      </c>
      <c r="AR75">
        <v>-77.689497000000003</v>
      </c>
      <c r="AS75">
        <v>25</v>
      </c>
      <c r="AT75">
        <v>3575</v>
      </c>
      <c r="AU75" t="s">
        <v>123</v>
      </c>
      <c r="AV75">
        <v>88</v>
      </c>
      <c r="AW75">
        <v>154</v>
      </c>
      <c r="AX75">
        <v>64</v>
      </c>
      <c r="AZ75">
        <f t="shared" si="16"/>
        <v>7744</v>
      </c>
      <c r="BA75">
        <f t="shared" si="17"/>
        <v>23716</v>
      </c>
      <c r="BB75" s="1">
        <f t="shared" si="18"/>
        <v>177.36967046256808</v>
      </c>
      <c r="BJ75">
        <v>1404</v>
      </c>
      <c r="BK75">
        <v>1</v>
      </c>
      <c r="BL75" t="str">
        <f t="shared" si="12"/>
        <v xml:space="preserve">N600C   </v>
      </c>
      <c r="BM75">
        <v>2</v>
      </c>
      <c r="BO75">
        <v>0</v>
      </c>
      <c r="BP75">
        <v>0</v>
      </c>
      <c r="BQ75">
        <v>0</v>
      </c>
      <c r="BR75">
        <v>3675</v>
      </c>
      <c r="BS75">
        <v>100</v>
      </c>
      <c r="BT75" t="s">
        <v>128</v>
      </c>
      <c r="BU75">
        <v>0</v>
      </c>
      <c r="BV75">
        <v>0</v>
      </c>
      <c r="BW75">
        <v>0</v>
      </c>
      <c r="BX75">
        <v>1</v>
      </c>
      <c r="CA75">
        <v>0</v>
      </c>
      <c r="CB75">
        <v>0</v>
      </c>
      <c r="CC75">
        <v>0</v>
      </c>
      <c r="CM75" t="str">
        <f>"17:41:26.288"</f>
        <v>17:41:26.288</v>
      </c>
      <c r="CN75">
        <v>288270253</v>
      </c>
      <c r="CQ75">
        <v>0</v>
      </c>
      <c r="CR75">
        <v>4000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2</v>
      </c>
      <c r="DC75">
        <v>0</v>
      </c>
      <c r="DD75">
        <v>2</v>
      </c>
      <c r="DE75">
        <v>0</v>
      </c>
      <c r="DF75">
        <v>7</v>
      </c>
      <c r="DG75">
        <v>7</v>
      </c>
      <c r="DH75" t="s">
        <v>124</v>
      </c>
      <c r="DI75">
        <v>71</v>
      </c>
      <c r="DJ75">
        <v>1</v>
      </c>
      <c r="DK75" t="s">
        <v>134</v>
      </c>
      <c r="DL75" t="s">
        <v>135</v>
      </c>
      <c r="DO75">
        <v>11272942</v>
      </c>
      <c r="DQ75">
        <v>0</v>
      </c>
      <c r="DR75">
        <v>0</v>
      </c>
      <c r="DS75">
        <v>1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</row>
    <row r="76" spans="1:131" x14ac:dyDescent="0.35">
      <c r="A76" s="2" t="str">
        <f>"17:41:27.521"</f>
        <v>17:41:27.521</v>
      </c>
      <c r="B76" s="4">
        <f t="shared" si="19"/>
        <v>63687.521000000001</v>
      </c>
      <c r="C76" s="4">
        <f t="shared" si="13"/>
        <v>87.52100000000064</v>
      </c>
      <c r="D76" s="3">
        <f t="shared" si="14"/>
        <v>0.73712408564814813</v>
      </c>
      <c r="E76" s="2">
        <f t="shared" si="15"/>
        <v>0.73712408564814813</v>
      </c>
      <c r="G76" t="str">
        <f t="shared" si="10"/>
        <v>FFDFD7C0</v>
      </c>
      <c r="H76" t="s">
        <v>126</v>
      </c>
      <c r="I76">
        <v>8</v>
      </c>
      <c r="J76">
        <v>1008</v>
      </c>
      <c r="K76" t="s">
        <v>129</v>
      </c>
      <c r="N76" t="s">
        <v>127</v>
      </c>
      <c r="O76">
        <v>0</v>
      </c>
      <c r="P76">
        <v>3</v>
      </c>
      <c r="Q76">
        <v>0</v>
      </c>
      <c r="R76">
        <v>2</v>
      </c>
      <c r="S76">
        <v>1</v>
      </c>
      <c r="T76">
        <v>0</v>
      </c>
      <c r="U76">
        <v>0</v>
      </c>
      <c r="W76" t="str">
        <f>"17:41:27.297"</f>
        <v>17:41:27.297</v>
      </c>
      <c r="X76" t="str">
        <f>"17:41:27.297"</f>
        <v>17:41:27.297</v>
      </c>
      <c r="Y76" t="str">
        <f t="shared" si="11"/>
        <v>A7C771</v>
      </c>
      <c r="Z76">
        <v>0</v>
      </c>
      <c r="AA76">
        <v>0</v>
      </c>
      <c r="AB76">
        <v>2</v>
      </c>
      <c r="AC76">
        <v>0</v>
      </c>
      <c r="AE76">
        <v>0</v>
      </c>
      <c r="AF76">
        <v>8</v>
      </c>
      <c r="AG76">
        <v>3</v>
      </c>
      <c r="AH76">
        <v>0</v>
      </c>
      <c r="AI76">
        <v>9</v>
      </c>
      <c r="AJ76" t="s">
        <v>125</v>
      </c>
      <c r="AK76">
        <v>0</v>
      </c>
      <c r="AL76">
        <v>3</v>
      </c>
      <c r="AM76">
        <v>2</v>
      </c>
      <c r="AN76">
        <v>1</v>
      </c>
      <c r="AO76" t="s">
        <v>286</v>
      </c>
      <c r="AP76">
        <v>42.780203999999998</v>
      </c>
      <c r="AQ76" t="s">
        <v>287</v>
      </c>
      <c r="AR76">
        <v>-77.688874999999996</v>
      </c>
      <c r="AS76">
        <v>25</v>
      </c>
      <c r="AT76">
        <v>3575</v>
      </c>
      <c r="AU76" t="s">
        <v>123</v>
      </c>
      <c r="AV76">
        <v>88</v>
      </c>
      <c r="AW76">
        <v>153</v>
      </c>
      <c r="AX76">
        <v>0</v>
      </c>
      <c r="AZ76">
        <f t="shared" si="16"/>
        <v>7744</v>
      </c>
      <c r="BA76">
        <f t="shared" si="17"/>
        <v>23409</v>
      </c>
      <c r="BB76" s="1">
        <f t="shared" si="18"/>
        <v>176.50212463310464</v>
      </c>
      <c r="BJ76">
        <v>1404</v>
      </c>
      <c r="BK76">
        <v>1</v>
      </c>
      <c r="BL76" t="str">
        <f t="shared" si="12"/>
        <v xml:space="preserve">N600C   </v>
      </c>
      <c r="BM76">
        <v>2</v>
      </c>
      <c r="BO76">
        <v>0</v>
      </c>
      <c r="BP76">
        <v>0</v>
      </c>
      <c r="BQ76">
        <v>0</v>
      </c>
      <c r="BR76">
        <v>3675</v>
      </c>
      <c r="BS76">
        <v>100</v>
      </c>
      <c r="BT76" t="s">
        <v>128</v>
      </c>
      <c r="BU76">
        <v>0</v>
      </c>
      <c r="BV76">
        <v>0</v>
      </c>
      <c r="BW76">
        <v>0</v>
      </c>
      <c r="BX76">
        <v>1</v>
      </c>
      <c r="CA76">
        <v>0</v>
      </c>
      <c r="CB76">
        <v>0</v>
      </c>
      <c r="CC76">
        <v>0</v>
      </c>
      <c r="CM76" t="str">
        <f>"17:41:27.305"</f>
        <v>17:41:27.305</v>
      </c>
      <c r="CN76">
        <v>304510249</v>
      </c>
      <c r="CQ76">
        <v>0</v>
      </c>
      <c r="CR76">
        <v>4000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2</v>
      </c>
      <c r="DC76">
        <v>0</v>
      </c>
      <c r="DD76">
        <v>2</v>
      </c>
      <c r="DE76">
        <v>0</v>
      </c>
      <c r="DF76">
        <v>7</v>
      </c>
      <c r="DG76">
        <v>7</v>
      </c>
      <c r="DH76" t="s">
        <v>124</v>
      </c>
      <c r="DI76">
        <v>71</v>
      </c>
      <c r="DJ76">
        <v>1</v>
      </c>
      <c r="DK76" t="s">
        <v>134</v>
      </c>
      <c r="DL76" t="s">
        <v>135</v>
      </c>
      <c r="DO76">
        <v>11273848</v>
      </c>
      <c r="DQ76">
        <v>0</v>
      </c>
      <c r="DR76">
        <v>0</v>
      </c>
      <c r="DS76">
        <v>1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</row>
    <row r="77" spans="1:131" x14ac:dyDescent="0.35">
      <c r="A77" s="2" t="str">
        <f>"17:41:28.464"</f>
        <v>17:41:28.464</v>
      </c>
      <c r="B77" s="4">
        <f t="shared" si="19"/>
        <v>63688.464</v>
      </c>
      <c r="C77" s="4">
        <f t="shared" si="13"/>
        <v>88.463999999999942</v>
      </c>
      <c r="D77" s="3">
        <f t="shared" si="14"/>
        <v>0.73713499999999998</v>
      </c>
      <c r="E77" s="2">
        <f t="shared" si="15"/>
        <v>0.73713499999999998</v>
      </c>
      <c r="G77" t="str">
        <f t="shared" si="10"/>
        <v>FFDFD7C0</v>
      </c>
      <c r="H77" t="s">
        <v>126</v>
      </c>
      <c r="I77">
        <v>8</v>
      </c>
      <c r="J77">
        <v>1008</v>
      </c>
      <c r="K77" t="s">
        <v>129</v>
      </c>
      <c r="N77" t="s">
        <v>127</v>
      </c>
      <c r="O77">
        <v>0</v>
      </c>
      <c r="P77">
        <v>3</v>
      </c>
      <c r="Q77">
        <v>0</v>
      </c>
      <c r="R77">
        <v>2</v>
      </c>
      <c r="S77">
        <v>1</v>
      </c>
      <c r="T77">
        <v>0</v>
      </c>
      <c r="U77">
        <v>0</v>
      </c>
      <c r="W77" t="str">
        <f>"17:41:28.234"</f>
        <v>17:41:28.234</v>
      </c>
      <c r="X77" t="str">
        <f>"17:41:27.834"</f>
        <v>17:41:27.834</v>
      </c>
      <c r="Y77" t="str">
        <f t="shared" si="11"/>
        <v>A7C771</v>
      </c>
      <c r="Z77">
        <v>0</v>
      </c>
      <c r="AA77">
        <v>0</v>
      </c>
      <c r="AB77">
        <v>2</v>
      </c>
      <c r="AC77">
        <v>0</v>
      </c>
      <c r="AE77">
        <v>0</v>
      </c>
      <c r="AF77">
        <v>8</v>
      </c>
      <c r="AG77">
        <v>3</v>
      </c>
      <c r="AH77">
        <v>0</v>
      </c>
      <c r="AI77">
        <v>9</v>
      </c>
      <c r="AJ77" t="s">
        <v>125</v>
      </c>
      <c r="AK77">
        <v>0</v>
      </c>
      <c r="AL77">
        <v>3</v>
      </c>
      <c r="AM77">
        <v>2</v>
      </c>
      <c r="AN77">
        <v>1</v>
      </c>
      <c r="AO77" t="s">
        <v>288</v>
      </c>
      <c r="AP77">
        <v>42.780847999999999</v>
      </c>
      <c r="AQ77" t="s">
        <v>289</v>
      </c>
      <c r="AR77">
        <v>-77.688424999999995</v>
      </c>
      <c r="AS77">
        <v>25</v>
      </c>
      <c r="AT77">
        <v>3575</v>
      </c>
      <c r="AU77" t="s">
        <v>123</v>
      </c>
      <c r="AV77">
        <v>87</v>
      </c>
      <c r="AW77">
        <v>152</v>
      </c>
      <c r="AX77">
        <v>0</v>
      </c>
      <c r="AZ77">
        <f t="shared" si="16"/>
        <v>7569</v>
      </c>
      <c r="BA77">
        <f t="shared" si="17"/>
        <v>23104</v>
      </c>
      <c r="BB77" s="1">
        <f t="shared" si="18"/>
        <v>175.13708916160505</v>
      </c>
      <c r="BJ77">
        <v>1404</v>
      </c>
      <c r="BK77">
        <v>1</v>
      </c>
      <c r="BL77" t="str">
        <f t="shared" si="12"/>
        <v xml:space="preserve">N600C   </v>
      </c>
      <c r="BM77">
        <v>2</v>
      </c>
      <c r="BO77">
        <v>0</v>
      </c>
      <c r="BP77">
        <v>0</v>
      </c>
      <c r="BQ77">
        <v>0</v>
      </c>
      <c r="BR77">
        <v>3675</v>
      </c>
      <c r="BS77">
        <v>100</v>
      </c>
      <c r="BT77" t="s">
        <v>128</v>
      </c>
      <c r="BU77">
        <v>0</v>
      </c>
      <c r="BV77">
        <v>0</v>
      </c>
      <c r="BW77">
        <v>0</v>
      </c>
      <c r="BX77">
        <v>1</v>
      </c>
      <c r="CA77">
        <v>0</v>
      </c>
      <c r="CB77">
        <v>0</v>
      </c>
      <c r="CC77">
        <v>0</v>
      </c>
      <c r="CM77" t="str">
        <f>"17:41:28.241"</f>
        <v>17:41:28.241</v>
      </c>
      <c r="CN77">
        <v>240632337</v>
      </c>
      <c r="CQ77">
        <v>0</v>
      </c>
      <c r="CR77">
        <v>4000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2</v>
      </c>
      <c r="DC77">
        <v>0</v>
      </c>
      <c r="DD77">
        <v>2</v>
      </c>
      <c r="DE77">
        <v>0</v>
      </c>
      <c r="DF77">
        <v>7</v>
      </c>
      <c r="DG77">
        <v>7</v>
      </c>
      <c r="DH77" t="s">
        <v>124</v>
      </c>
      <c r="DI77">
        <v>71</v>
      </c>
      <c r="DJ77">
        <v>2</v>
      </c>
      <c r="DK77" t="s">
        <v>134</v>
      </c>
      <c r="DL77" t="s">
        <v>135</v>
      </c>
      <c r="DO77">
        <v>763988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</row>
    <row r="78" spans="1:131" x14ac:dyDescent="0.35">
      <c r="A78" s="2" t="str">
        <f>"17:41:29.677"</f>
        <v>17:41:29.677</v>
      </c>
      <c r="B78" s="4">
        <f t="shared" si="19"/>
        <v>63689.677000000011</v>
      </c>
      <c r="C78" s="4">
        <f t="shared" si="13"/>
        <v>89.677000000010594</v>
      </c>
      <c r="D78" s="3">
        <f t="shared" si="14"/>
        <v>0.73714903935185194</v>
      </c>
      <c r="E78" s="2">
        <f t="shared" si="15"/>
        <v>0.73714903935185194</v>
      </c>
      <c r="G78" t="str">
        <f t="shared" si="10"/>
        <v>FFDFD7C0</v>
      </c>
      <c r="H78" t="s">
        <v>126</v>
      </c>
      <c r="I78">
        <v>8</v>
      </c>
      <c r="J78">
        <v>1008</v>
      </c>
      <c r="K78" t="s">
        <v>129</v>
      </c>
      <c r="N78" t="s">
        <v>127</v>
      </c>
      <c r="O78">
        <v>0</v>
      </c>
      <c r="P78">
        <v>3</v>
      </c>
      <c r="Q78">
        <v>0</v>
      </c>
      <c r="R78">
        <v>2</v>
      </c>
      <c r="S78">
        <v>1</v>
      </c>
      <c r="T78">
        <v>0</v>
      </c>
      <c r="U78">
        <v>0</v>
      </c>
      <c r="W78" t="str">
        <f>"17:41:29.313"</f>
        <v>17:41:29.313</v>
      </c>
      <c r="X78" t="str">
        <f>"17:41:29.213"</f>
        <v>17:41:29.213</v>
      </c>
      <c r="Y78" t="str">
        <f t="shared" si="11"/>
        <v>A7C771</v>
      </c>
      <c r="Z78">
        <v>0</v>
      </c>
      <c r="AA78">
        <v>0</v>
      </c>
      <c r="AB78">
        <v>2</v>
      </c>
      <c r="AC78">
        <v>0</v>
      </c>
      <c r="AE78">
        <v>0</v>
      </c>
      <c r="AF78">
        <v>8</v>
      </c>
      <c r="AG78">
        <v>3</v>
      </c>
      <c r="AH78">
        <v>0</v>
      </c>
      <c r="AI78">
        <v>9</v>
      </c>
      <c r="AJ78" t="s">
        <v>125</v>
      </c>
      <c r="AK78">
        <v>0</v>
      </c>
      <c r="AL78">
        <v>3</v>
      </c>
      <c r="AM78">
        <v>2</v>
      </c>
      <c r="AN78">
        <v>1</v>
      </c>
      <c r="AO78" t="s">
        <v>290</v>
      </c>
      <c r="AP78">
        <v>42.781641</v>
      </c>
      <c r="AQ78" t="s">
        <v>291</v>
      </c>
      <c r="AR78">
        <v>-77.687824000000006</v>
      </c>
      <c r="AS78">
        <v>25</v>
      </c>
      <c r="AT78">
        <v>3575</v>
      </c>
      <c r="AU78" t="s">
        <v>123</v>
      </c>
      <c r="AV78">
        <v>86</v>
      </c>
      <c r="AW78">
        <v>151</v>
      </c>
      <c r="AX78">
        <v>0</v>
      </c>
      <c r="AZ78">
        <f t="shared" si="16"/>
        <v>7396</v>
      </c>
      <c r="BA78">
        <f t="shared" si="17"/>
        <v>22801</v>
      </c>
      <c r="BB78" s="1">
        <f t="shared" si="18"/>
        <v>173.77284022539311</v>
      </c>
      <c r="BJ78">
        <v>1404</v>
      </c>
      <c r="BK78">
        <v>1</v>
      </c>
      <c r="BL78" t="str">
        <f t="shared" si="12"/>
        <v xml:space="preserve">N600C   </v>
      </c>
      <c r="BM78">
        <v>2</v>
      </c>
      <c r="BO78">
        <v>0</v>
      </c>
      <c r="BP78">
        <v>0</v>
      </c>
      <c r="BQ78">
        <v>0</v>
      </c>
      <c r="BR78">
        <v>3675</v>
      </c>
      <c r="BS78">
        <v>100</v>
      </c>
      <c r="BT78" t="s">
        <v>128</v>
      </c>
      <c r="BU78">
        <v>0</v>
      </c>
      <c r="BV78">
        <v>0</v>
      </c>
      <c r="BW78">
        <v>0</v>
      </c>
      <c r="BX78">
        <v>1</v>
      </c>
      <c r="CA78">
        <v>0</v>
      </c>
      <c r="CB78">
        <v>0</v>
      </c>
      <c r="CC78">
        <v>0</v>
      </c>
      <c r="CM78" t="str">
        <f>"17:41:29.313"</f>
        <v>17:41:29.313</v>
      </c>
      <c r="CN78">
        <v>312839918</v>
      </c>
      <c r="CQ78">
        <v>0</v>
      </c>
      <c r="CR78">
        <v>4000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2</v>
      </c>
      <c r="DC78">
        <v>0</v>
      </c>
      <c r="DD78">
        <v>2</v>
      </c>
      <c r="DE78">
        <v>0</v>
      </c>
      <c r="DF78">
        <v>7</v>
      </c>
      <c r="DG78">
        <v>7</v>
      </c>
      <c r="DH78" t="s">
        <v>124</v>
      </c>
      <c r="DI78">
        <v>71</v>
      </c>
      <c r="DJ78">
        <v>2</v>
      </c>
      <c r="DK78" t="s">
        <v>134</v>
      </c>
      <c r="DL78" t="s">
        <v>135</v>
      </c>
      <c r="DO78">
        <v>764950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</row>
    <row r="79" spans="1:131" x14ac:dyDescent="0.35">
      <c r="A79" s="2" t="str">
        <f>"17:41:30.442"</f>
        <v>17:41:30.442</v>
      </c>
      <c r="B79" s="4">
        <f t="shared" si="19"/>
        <v>63690.442000000003</v>
      </c>
      <c r="C79" s="4">
        <f t="shared" si="13"/>
        <v>90.442000000002736</v>
      </c>
      <c r="D79" s="3">
        <f t="shared" si="14"/>
        <v>0.73715789351851857</v>
      </c>
      <c r="E79" s="2">
        <f t="shared" si="15"/>
        <v>0.73715789351851857</v>
      </c>
      <c r="G79" t="str">
        <f t="shared" si="10"/>
        <v>FFDFD7C0</v>
      </c>
      <c r="H79" t="s">
        <v>126</v>
      </c>
      <c r="I79">
        <v>8</v>
      </c>
      <c r="J79">
        <v>1008</v>
      </c>
      <c r="K79" t="s">
        <v>129</v>
      </c>
      <c r="N79" t="s">
        <v>127</v>
      </c>
      <c r="O79">
        <v>0</v>
      </c>
      <c r="P79">
        <v>3</v>
      </c>
      <c r="Q79">
        <v>0</v>
      </c>
      <c r="R79">
        <v>2</v>
      </c>
      <c r="S79">
        <v>1</v>
      </c>
      <c r="T79">
        <v>0</v>
      </c>
      <c r="U79">
        <v>0</v>
      </c>
      <c r="W79" t="str">
        <f>"17:41:30.148"</f>
        <v>17:41:30.148</v>
      </c>
      <c r="X79" t="str">
        <f>"17:41:29.748"</f>
        <v>17:41:29.748</v>
      </c>
      <c r="Y79" t="str">
        <f t="shared" si="11"/>
        <v>A7C771</v>
      </c>
      <c r="Z79">
        <v>0</v>
      </c>
      <c r="AA79">
        <v>0</v>
      </c>
      <c r="AB79">
        <v>2</v>
      </c>
      <c r="AC79">
        <v>0</v>
      </c>
      <c r="AE79">
        <v>0</v>
      </c>
      <c r="AF79">
        <v>8</v>
      </c>
      <c r="AG79">
        <v>3</v>
      </c>
      <c r="AH79">
        <v>0</v>
      </c>
      <c r="AI79">
        <v>9</v>
      </c>
      <c r="AJ79" t="s">
        <v>125</v>
      </c>
      <c r="AK79">
        <v>0</v>
      </c>
      <c r="AL79">
        <v>3</v>
      </c>
      <c r="AM79">
        <v>2</v>
      </c>
      <c r="AN79">
        <v>1</v>
      </c>
      <c r="AO79" t="s">
        <v>292</v>
      </c>
      <c r="AP79">
        <v>42.782178000000002</v>
      </c>
      <c r="AQ79" t="s">
        <v>293</v>
      </c>
      <c r="AR79">
        <v>-77.687394999999995</v>
      </c>
      <c r="AS79">
        <v>25</v>
      </c>
      <c r="AT79">
        <v>3575</v>
      </c>
      <c r="AU79" t="s">
        <v>123</v>
      </c>
      <c r="AV79">
        <v>86</v>
      </c>
      <c r="AW79">
        <v>151</v>
      </c>
      <c r="AX79">
        <v>0</v>
      </c>
      <c r="AZ79">
        <f t="shared" si="16"/>
        <v>7396</v>
      </c>
      <c r="BA79">
        <f t="shared" si="17"/>
        <v>22801</v>
      </c>
      <c r="BB79" s="1">
        <f t="shared" si="18"/>
        <v>173.77284022539311</v>
      </c>
      <c r="BJ79">
        <v>1404</v>
      </c>
      <c r="BK79">
        <v>1</v>
      </c>
      <c r="BL79" t="str">
        <f t="shared" si="12"/>
        <v xml:space="preserve">N600C   </v>
      </c>
      <c r="BM79">
        <v>2</v>
      </c>
      <c r="BO79">
        <v>0</v>
      </c>
      <c r="BP79">
        <v>0</v>
      </c>
      <c r="BQ79">
        <v>0</v>
      </c>
      <c r="BR79">
        <v>3675</v>
      </c>
      <c r="BS79">
        <v>100</v>
      </c>
      <c r="BT79" t="s">
        <v>128</v>
      </c>
      <c r="BU79">
        <v>0</v>
      </c>
      <c r="BV79">
        <v>0</v>
      </c>
      <c r="BW79">
        <v>0</v>
      </c>
      <c r="BX79">
        <v>1</v>
      </c>
      <c r="CA79">
        <v>0</v>
      </c>
      <c r="CB79">
        <v>0</v>
      </c>
      <c r="CC79">
        <v>0</v>
      </c>
      <c r="CM79" t="str">
        <f>"17:41:30.153"</f>
        <v>17:41:30.153</v>
      </c>
      <c r="CN79">
        <v>153027799</v>
      </c>
      <c r="CQ79">
        <v>0</v>
      </c>
      <c r="CR79">
        <v>4000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2</v>
      </c>
      <c r="DC79">
        <v>0</v>
      </c>
      <c r="DD79">
        <v>2</v>
      </c>
      <c r="DE79">
        <v>0</v>
      </c>
      <c r="DF79">
        <v>7</v>
      </c>
      <c r="DG79">
        <v>7</v>
      </c>
      <c r="DH79" t="s">
        <v>124</v>
      </c>
      <c r="DI79">
        <v>71</v>
      </c>
      <c r="DJ79">
        <v>2</v>
      </c>
      <c r="DK79" t="s">
        <v>134</v>
      </c>
      <c r="DL79" t="s">
        <v>135</v>
      </c>
      <c r="DO79">
        <v>765713</v>
      </c>
      <c r="DQ79">
        <v>0</v>
      </c>
      <c r="DR79">
        <v>0</v>
      </c>
      <c r="DS79">
        <v>1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</row>
    <row r="80" spans="1:131" x14ac:dyDescent="0.35">
      <c r="A80" s="2" t="str">
        <f>"17:41:31.536"</f>
        <v>17:41:31.536</v>
      </c>
      <c r="B80" s="4">
        <f t="shared" si="19"/>
        <v>63691.536</v>
      </c>
      <c r="C80" s="4">
        <f t="shared" si="13"/>
        <v>91.536000000000058</v>
      </c>
      <c r="D80" s="3">
        <f t="shared" si="14"/>
        <v>0.73717055555555555</v>
      </c>
      <c r="E80" s="2">
        <f t="shared" si="15"/>
        <v>0.73717055555555555</v>
      </c>
      <c r="G80" t="str">
        <f t="shared" si="10"/>
        <v>FFDFD7C0</v>
      </c>
      <c r="H80" t="s">
        <v>126</v>
      </c>
      <c r="I80">
        <v>8</v>
      </c>
      <c r="J80">
        <v>1008</v>
      </c>
      <c r="K80" t="s">
        <v>129</v>
      </c>
      <c r="N80" t="s">
        <v>127</v>
      </c>
      <c r="O80">
        <v>0</v>
      </c>
      <c r="P80">
        <v>3</v>
      </c>
      <c r="Q80">
        <v>0</v>
      </c>
      <c r="R80">
        <v>2</v>
      </c>
      <c r="S80">
        <v>1</v>
      </c>
      <c r="T80">
        <v>0</v>
      </c>
      <c r="U80">
        <v>0</v>
      </c>
      <c r="W80" t="str">
        <f>"17:41:31.109"</f>
        <v>17:41:31.109</v>
      </c>
      <c r="X80" t="str">
        <f>"17:41:31.109"</f>
        <v>17:41:31.109</v>
      </c>
      <c r="Y80" t="str">
        <f t="shared" si="11"/>
        <v>A7C771</v>
      </c>
      <c r="Z80">
        <v>0</v>
      </c>
      <c r="AA80">
        <v>0</v>
      </c>
      <c r="AB80">
        <v>2</v>
      </c>
      <c r="AC80">
        <v>0</v>
      </c>
      <c r="AE80">
        <v>0</v>
      </c>
      <c r="AF80">
        <v>8</v>
      </c>
      <c r="AG80">
        <v>3</v>
      </c>
      <c r="AH80">
        <v>0</v>
      </c>
      <c r="AI80">
        <v>9</v>
      </c>
      <c r="AJ80" t="s">
        <v>125</v>
      </c>
      <c r="AK80">
        <v>0</v>
      </c>
      <c r="AL80">
        <v>3</v>
      </c>
      <c r="AM80">
        <v>2</v>
      </c>
      <c r="AN80">
        <v>1</v>
      </c>
      <c r="AO80" t="s">
        <v>294</v>
      </c>
      <c r="AP80">
        <v>42.782865000000001</v>
      </c>
      <c r="AQ80" t="s">
        <v>295</v>
      </c>
      <c r="AR80">
        <v>-77.686814999999996</v>
      </c>
      <c r="AS80">
        <v>25</v>
      </c>
      <c r="AT80">
        <v>3575</v>
      </c>
      <c r="AU80" t="s">
        <v>123</v>
      </c>
      <c r="AV80">
        <v>86</v>
      </c>
      <c r="AW80">
        <v>150</v>
      </c>
      <c r="AX80">
        <v>-64</v>
      </c>
      <c r="AZ80">
        <f t="shared" si="16"/>
        <v>7396</v>
      </c>
      <c r="BA80">
        <f t="shared" si="17"/>
        <v>22500</v>
      </c>
      <c r="BB80" s="1">
        <f t="shared" si="18"/>
        <v>172.90459797240788</v>
      </c>
      <c r="BJ80">
        <v>1404</v>
      </c>
      <c r="BK80">
        <v>1</v>
      </c>
      <c r="BL80" t="str">
        <f t="shared" si="12"/>
        <v xml:space="preserve">N600C   </v>
      </c>
      <c r="BM80">
        <v>2</v>
      </c>
      <c r="BO80">
        <v>0</v>
      </c>
      <c r="BP80">
        <v>0</v>
      </c>
      <c r="BQ80">
        <v>0</v>
      </c>
      <c r="BR80">
        <v>3675</v>
      </c>
      <c r="BS80">
        <v>100</v>
      </c>
      <c r="BT80" t="s">
        <v>128</v>
      </c>
      <c r="BU80">
        <v>0</v>
      </c>
      <c r="BV80">
        <v>0</v>
      </c>
      <c r="BW80">
        <v>0</v>
      </c>
      <c r="BX80">
        <v>1</v>
      </c>
      <c r="CA80">
        <v>0</v>
      </c>
      <c r="CB80">
        <v>0</v>
      </c>
      <c r="CC80">
        <v>0</v>
      </c>
      <c r="CM80" t="str">
        <f>"17:41:31.113"</f>
        <v>17:41:31.113</v>
      </c>
      <c r="CN80">
        <v>113146989</v>
      </c>
      <c r="CQ80">
        <v>0</v>
      </c>
      <c r="CR80">
        <v>4000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2</v>
      </c>
      <c r="DC80">
        <v>0</v>
      </c>
      <c r="DD80">
        <v>2</v>
      </c>
      <c r="DE80">
        <v>0</v>
      </c>
      <c r="DF80">
        <v>7</v>
      </c>
      <c r="DG80">
        <v>7</v>
      </c>
      <c r="DH80" t="s">
        <v>124</v>
      </c>
      <c r="DI80">
        <v>71</v>
      </c>
      <c r="DJ80">
        <v>1</v>
      </c>
      <c r="DK80" t="s">
        <v>134</v>
      </c>
      <c r="DL80" t="s">
        <v>135</v>
      </c>
      <c r="DO80">
        <v>11277212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</row>
    <row r="81" spans="1:131" x14ac:dyDescent="0.35">
      <c r="A81" s="2" t="str">
        <f>"17:41:32.411"</f>
        <v>17:41:32.411</v>
      </c>
      <c r="B81" s="4">
        <f t="shared" si="19"/>
        <v>63692.411000000007</v>
      </c>
      <c r="C81" s="4">
        <f t="shared" si="13"/>
        <v>92.411000000007334</v>
      </c>
      <c r="D81" s="3">
        <f t="shared" si="14"/>
        <v>0.73718068287037042</v>
      </c>
      <c r="E81" s="2">
        <f t="shared" si="15"/>
        <v>0.73718068287037042</v>
      </c>
      <c r="G81" t="str">
        <f t="shared" si="10"/>
        <v>FFDFD7C0</v>
      </c>
      <c r="H81" t="s">
        <v>126</v>
      </c>
      <c r="I81">
        <v>8</v>
      </c>
      <c r="J81">
        <v>1008</v>
      </c>
      <c r="K81" t="s">
        <v>129</v>
      </c>
      <c r="N81" t="s">
        <v>127</v>
      </c>
      <c r="O81">
        <v>0</v>
      </c>
      <c r="P81">
        <v>3</v>
      </c>
      <c r="Q81">
        <v>0</v>
      </c>
      <c r="R81">
        <v>2</v>
      </c>
      <c r="S81">
        <v>1</v>
      </c>
      <c r="T81">
        <v>0</v>
      </c>
      <c r="U81">
        <v>0</v>
      </c>
      <c r="W81" t="str">
        <f>"17:41:32.164"</f>
        <v>17:41:32.164</v>
      </c>
      <c r="X81" t="str">
        <f>"17:41:31.664"</f>
        <v>17:41:31.664</v>
      </c>
      <c r="Y81" t="str">
        <f t="shared" si="11"/>
        <v>A7C771</v>
      </c>
      <c r="Z81">
        <v>0</v>
      </c>
      <c r="AA81">
        <v>0</v>
      </c>
      <c r="AB81">
        <v>2</v>
      </c>
      <c r="AC81">
        <v>0</v>
      </c>
      <c r="AE81">
        <v>0</v>
      </c>
      <c r="AF81">
        <v>8</v>
      </c>
      <c r="AG81">
        <v>3</v>
      </c>
      <c r="AH81">
        <v>0</v>
      </c>
      <c r="AI81">
        <v>9</v>
      </c>
      <c r="AJ81" t="s">
        <v>125</v>
      </c>
      <c r="AK81">
        <v>0</v>
      </c>
      <c r="AL81">
        <v>3</v>
      </c>
      <c r="AM81">
        <v>2</v>
      </c>
      <c r="AN81">
        <v>1</v>
      </c>
      <c r="AO81" t="s">
        <v>296</v>
      </c>
      <c r="AP81">
        <v>42.783551000000003</v>
      </c>
      <c r="AQ81" t="s">
        <v>297</v>
      </c>
      <c r="AR81">
        <v>-77.686322000000004</v>
      </c>
      <c r="AS81">
        <v>25</v>
      </c>
      <c r="AT81">
        <v>3575</v>
      </c>
      <c r="AU81" t="s">
        <v>123</v>
      </c>
      <c r="AV81">
        <v>85</v>
      </c>
      <c r="AW81">
        <v>149</v>
      </c>
      <c r="AX81">
        <v>-64</v>
      </c>
      <c r="AZ81">
        <f t="shared" si="16"/>
        <v>7225</v>
      </c>
      <c r="BA81">
        <f t="shared" si="17"/>
        <v>22201</v>
      </c>
      <c r="BB81" s="1">
        <f t="shared" si="18"/>
        <v>171.54008277950666</v>
      </c>
      <c r="BJ81">
        <v>1404</v>
      </c>
      <c r="BK81">
        <v>1</v>
      </c>
      <c r="BL81" t="str">
        <f t="shared" si="12"/>
        <v xml:space="preserve">N600C   </v>
      </c>
      <c r="BM81">
        <v>2</v>
      </c>
      <c r="BO81">
        <v>0</v>
      </c>
      <c r="BP81">
        <v>0</v>
      </c>
      <c r="BQ81">
        <v>0</v>
      </c>
      <c r="BR81">
        <v>3675</v>
      </c>
      <c r="BS81">
        <v>100</v>
      </c>
      <c r="BT81" t="s">
        <v>128</v>
      </c>
      <c r="BU81">
        <v>0</v>
      </c>
      <c r="BV81">
        <v>0</v>
      </c>
      <c r="BW81">
        <v>0</v>
      </c>
      <c r="BX81">
        <v>1</v>
      </c>
      <c r="CA81">
        <v>0</v>
      </c>
      <c r="CB81">
        <v>0</v>
      </c>
      <c r="CC81">
        <v>0</v>
      </c>
      <c r="CM81" t="str">
        <f>"17:41:32.169"</f>
        <v>17:41:32.169</v>
      </c>
      <c r="CN81">
        <v>169334087</v>
      </c>
      <c r="CQ81">
        <v>0</v>
      </c>
      <c r="CR81">
        <v>4000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2</v>
      </c>
      <c r="DC81">
        <v>0</v>
      </c>
      <c r="DD81">
        <v>2</v>
      </c>
      <c r="DE81">
        <v>0</v>
      </c>
      <c r="DF81">
        <v>7</v>
      </c>
      <c r="DG81">
        <v>7</v>
      </c>
      <c r="DH81" t="s">
        <v>124</v>
      </c>
      <c r="DI81">
        <v>71</v>
      </c>
      <c r="DJ81">
        <v>1</v>
      </c>
      <c r="DK81" t="s">
        <v>134</v>
      </c>
      <c r="DL81" t="s">
        <v>135</v>
      </c>
      <c r="DO81">
        <v>11278145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</row>
    <row r="82" spans="1:131" x14ac:dyDescent="0.35">
      <c r="A82" s="2" t="str">
        <f>"17:41:33.428"</f>
        <v>17:41:33.428</v>
      </c>
      <c r="B82" s="4">
        <f t="shared" si="19"/>
        <v>63693.428</v>
      </c>
      <c r="C82" s="4">
        <f t="shared" si="13"/>
        <v>93.427999999999884</v>
      </c>
      <c r="D82" s="3">
        <f t="shared" si="14"/>
        <v>0.73719245370370368</v>
      </c>
      <c r="E82" s="2">
        <f t="shared" si="15"/>
        <v>0.73719245370370368</v>
      </c>
      <c r="G82" t="str">
        <f t="shared" si="10"/>
        <v>FFDFD7C0</v>
      </c>
      <c r="H82" t="s">
        <v>126</v>
      </c>
      <c r="I82">
        <v>8</v>
      </c>
      <c r="J82">
        <v>1008</v>
      </c>
      <c r="K82" t="s">
        <v>129</v>
      </c>
      <c r="N82" t="s">
        <v>127</v>
      </c>
      <c r="O82">
        <v>0</v>
      </c>
      <c r="P82">
        <v>3</v>
      </c>
      <c r="Q82">
        <v>0</v>
      </c>
      <c r="R82">
        <v>2</v>
      </c>
      <c r="S82">
        <v>1</v>
      </c>
      <c r="T82">
        <v>0</v>
      </c>
      <c r="U82">
        <v>0</v>
      </c>
      <c r="W82" t="str">
        <f>"17:41:33.156"</f>
        <v>17:41:33.156</v>
      </c>
      <c r="X82" t="str">
        <f>"17:41:33.156"</f>
        <v>17:41:33.156</v>
      </c>
      <c r="Y82" t="str">
        <f t="shared" si="11"/>
        <v>A7C771</v>
      </c>
      <c r="Z82">
        <v>0</v>
      </c>
      <c r="AA82">
        <v>0</v>
      </c>
      <c r="AB82">
        <v>2</v>
      </c>
      <c r="AC82">
        <v>0</v>
      </c>
      <c r="AE82">
        <v>0</v>
      </c>
      <c r="AF82">
        <v>8</v>
      </c>
      <c r="AG82">
        <v>3</v>
      </c>
      <c r="AH82">
        <v>0</v>
      </c>
      <c r="AI82">
        <v>9</v>
      </c>
      <c r="AJ82" t="s">
        <v>125</v>
      </c>
      <c r="AK82">
        <v>0</v>
      </c>
      <c r="AL82">
        <v>3</v>
      </c>
      <c r="AM82">
        <v>2</v>
      </c>
      <c r="AN82">
        <v>1</v>
      </c>
      <c r="AO82" t="s">
        <v>298</v>
      </c>
      <c r="AP82">
        <v>42.784238000000002</v>
      </c>
      <c r="AQ82" t="s">
        <v>299</v>
      </c>
      <c r="AR82">
        <v>-77.685764000000006</v>
      </c>
      <c r="AS82">
        <v>25</v>
      </c>
      <c r="AT82">
        <v>3575</v>
      </c>
      <c r="AU82" t="s">
        <v>123</v>
      </c>
      <c r="AV82">
        <v>85</v>
      </c>
      <c r="AW82">
        <v>148</v>
      </c>
      <c r="AX82">
        <v>-64</v>
      </c>
      <c r="AZ82">
        <f t="shared" si="16"/>
        <v>7225</v>
      </c>
      <c r="BA82">
        <f t="shared" si="17"/>
        <v>21904</v>
      </c>
      <c r="BB82" s="1">
        <f t="shared" si="18"/>
        <v>170.67220043111882</v>
      </c>
      <c r="BJ82">
        <v>1404</v>
      </c>
      <c r="BK82">
        <v>1</v>
      </c>
      <c r="BL82" t="str">
        <f t="shared" si="12"/>
        <v xml:space="preserve">N600C   </v>
      </c>
      <c r="BM82">
        <v>2</v>
      </c>
      <c r="BO82">
        <v>0</v>
      </c>
      <c r="BP82">
        <v>0</v>
      </c>
      <c r="BQ82">
        <v>0</v>
      </c>
      <c r="BR82">
        <v>3675</v>
      </c>
      <c r="BS82">
        <v>100</v>
      </c>
      <c r="BT82" t="s">
        <v>128</v>
      </c>
      <c r="BU82">
        <v>0</v>
      </c>
      <c r="BV82">
        <v>0</v>
      </c>
      <c r="BW82">
        <v>0</v>
      </c>
      <c r="BX82">
        <v>1</v>
      </c>
      <c r="CA82">
        <v>0</v>
      </c>
      <c r="CB82">
        <v>0</v>
      </c>
      <c r="CC82">
        <v>0</v>
      </c>
      <c r="CM82" t="str">
        <f>"17:41:33.162"</f>
        <v>17:41:33.162</v>
      </c>
      <c r="CN82">
        <v>161512023</v>
      </c>
      <c r="CQ82">
        <v>0</v>
      </c>
      <c r="CR82">
        <v>4000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2</v>
      </c>
      <c r="DC82">
        <v>0</v>
      </c>
      <c r="DD82">
        <v>2</v>
      </c>
      <c r="DE82">
        <v>0</v>
      </c>
      <c r="DF82">
        <v>7</v>
      </c>
      <c r="DG82">
        <v>7</v>
      </c>
      <c r="DH82" t="s">
        <v>124</v>
      </c>
      <c r="DI82">
        <v>71</v>
      </c>
      <c r="DJ82">
        <v>1</v>
      </c>
      <c r="DK82" t="s">
        <v>134</v>
      </c>
      <c r="DL82" t="s">
        <v>135</v>
      </c>
      <c r="DO82">
        <v>11278989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</row>
    <row r="83" spans="1:131" x14ac:dyDescent="0.35">
      <c r="A83" s="2" t="str">
        <f>"17:41:34.395"</f>
        <v>17:41:34.395</v>
      </c>
      <c r="B83" s="4">
        <f t="shared" si="19"/>
        <v>63694.394999999997</v>
      </c>
      <c r="C83" s="4">
        <f t="shared" si="13"/>
        <v>94.394999999996799</v>
      </c>
      <c r="D83" s="3">
        <f t="shared" si="14"/>
        <v>0.73720364583333331</v>
      </c>
      <c r="E83" s="2">
        <f t="shared" si="15"/>
        <v>0.73720364583333331</v>
      </c>
      <c r="G83" t="str">
        <f t="shared" si="10"/>
        <v>FFDFD7C0</v>
      </c>
      <c r="H83" t="s">
        <v>126</v>
      </c>
      <c r="I83">
        <v>8</v>
      </c>
      <c r="J83">
        <v>1008</v>
      </c>
      <c r="K83" t="s">
        <v>129</v>
      </c>
      <c r="N83" t="s">
        <v>127</v>
      </c>
      <c r="O83">
        <v>0</v>
      </c>
      <c r="P83">
        <v>3</v>
      </c>
      <c r="Q83">
        <v>0</v>
      </c>
      <c r="R83">
        <v>2</v>
      </c>
      <c r="S83">
        <v>1</v>
      </c>
      <c r="T83">
        <v>0</v>
      </c>
      <c r="U83">
        <v>0</v>
      </c>
      <c r="W83" t="str">
        <f>"17:41:34.117"</f>
        <v>17:41:34.117</v>
      </c>
      <c r="X83" t="str">
        <f>"17:41:33.717"</f>
        <v>17:41:33.717</v>
      </c>
      <c r="Y83" t="str">
        <f t="shared" si="11"/>
        <v>A7C771</v>
      </c>
      <c r="Z83">
        <v>0</v>
      </c>
      <c r="AA83">
        <v>0</v>
      </c>
      <c r="AB83">
        <v>2</v>
      </c>
      <c r="AC83">
        <v>0</v>
      </c>
      <c r="AE83">
        <v>0</v>
      </c>
      <c r="AF83">
        <v>8</v>
      </c>
      <c r="AG83">
        <v>3</v>
      </c>
      <c r="AH83">
        <v>0</v>
      </c>
      <c r="AI83">
        <v>9</v>
      </c>
      <c r="AJ83" t="s">
        <v>125</v>
      </c>
      <c r="AK83">
        <v>0</v>
      </c>
      <c r="AL83">
        <v>3</v>
      </c>
      <c r="AM83">
        <v>2</v>
      </c>
      <c r="AN83">
        <v>1</v>
      </c>
      <c r="AO83" t="s">
        <v>300</v>
      </c>
      <c r="AP83">
        <v>42.784925000000001</v>
      </c>
      <c r="AQ83" t="s">
        <v>301</v>
      </c>
      <c r="AR83">
        <v>-77.685205999999994</v>
      </c>
      <c r="AS83">
        <v>25</v>
      </c>
      <c r="AT83">
        <v>3575</v>
      </c>
      <c r="AU83" t="s">
        <v>123</v>
      </c>
      <c r="AV83">
        <v>85</v>
      </c>
      <c r="AW83">
        <v>148</v>
      </c>
      <c r="AX83">
        <v>-64</v>
      </c>
      <c r="AZ83">
        <f t="shared" si="16"/>
        <v>7225</v>
      </c>
      <c r="BA83">
        <f t="shared" si="17"/>
        <v>21904</v>
      </c>
      <c r="BB83" s="1">
        <f t="shared" si="18"/>
        <v>170.67220043111882</v>
      </c>
      <c r="BJ83">
        <v>1404</v>
      </c>
      <c r="BK83">
        <v>1</v>
      </c>
      <c r="BL83" t="str">
        <f t="shared" si="12"/>
        <v xml:space="preserve">N600C   </v>
      </c>
      <c r="BM83">
        <v>2</v>
      </c>
      <c r="BO83">
        <v>0</v>
      </c>
      <c r="BP83">
        <v>0</v>
      </c>
      <c r="BQ83">
        <v>0</v>
      </c>
      <c r="BR83">
        <v>3675</v>
      </c>
      <c r="BS83">
        <v>100</v>
      </c>
      <c r="BT83" t="s">
        <v>128</v>
      </c>
      <c r="BU83">
        <v>0</v>
      </c>
      <c r="BV83">
        <v>0</v>
      </c>
      <c r="BW83">
        <v>0</v>
      </c>
      <c r="BX83">
        <v>1</v>
      </c>
      <c r="CA83">
        <v>0</v>
      </c>
      <c r="CB83">
        <v>0</v>
      </c>
      <c r="CC83">
        <v>0</v>
      </c>
      <c r="CM83" t="str">
        <f>"17:41:34.122"</f>
        <v>17:41:34.122</v>
      </c>
      <c r="CN83">
        <v>121687419</v>
      </c>
      <c r="CQ83">
        <v>0</v>
      </c>
      <c r="CR83">
        <v>4000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2</v>
      </c>
      <c r="DC83">
        <v>0</v>
      </c>
      <c r="DD83">
        <v>2</v>
      </c>
      <c r="DE83">
        <v>0</v>
      </c>
      <c r="DF83">
        <v>7</v>
      </c>
      <c r="DG83">
        <v>7</v>
      </c>
      <c r="DH83" t="s">
        <v>124</v>
      </c>
      <c r="DI83">
        <v>71</v>
      </c>
      <c r="DJ83">
        <v>1</v>
      </c>
      <c r="DK83" t="s">
        <v>134</v>
      </c>
      <c r="DL83" t="s">
        <v>135</v>
      </c>
      <c r="DO83">
        <v>11279778</v>
      </c>
      <c r="DQ83">
        <v>0</v>
      </c>
      <c r="DR83">
        <v>0</v>
      </c>
      <c r="DS83">
        <v>1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</row>
    <row r="84" spans="1:131" x14ac:dyDescent="0.35">
      <c r="A84" s="2" t="str">
        <f>"17:41:35.552"</f>
        <v>17:41:35.552</v>
      </c>
      <c r="B84" s="4">
        <f t="shared" si="19"/>
        <v>63695.552000000003</v>
      </c>
      <c r="C84" s="4">
        <f t="shared" si="13"/>
        <v>95.552000000003318</v>
      </c>
      <c r="D84" s="3">
        <f t="shared" si="14"/>
        <v>0.73721703703703712</v>
      </c>
      <c r="E84" s="2">
        <f t="shared" si="15"/>
        <v>0.73721703703703712</v>
      </c>
      <c r="G84" t="str">
        <f t="shared" si="10"/>
        <v>FFDFD7C0</v>
      </c>
      <c r="H84" t="s">
        <v>126</v>
      </c>
      <c r="I84">
        <v>8</v>
      </c>
      <c r="J84">
        <v>1008</v>
      </c>
      <c r="K84" t="s">
        <v>129</v>
      </c>
      <c r="N84" t="s">
        <v>127</v>
      </c>
      <c r="O84">
        <v>0</v>
      </c>
      <c r="P84">
        <v>3</v>
      </c>
      <c r="Q84">
        <v>0</v>
      </c>
      <c r="R84">
        <v>2</v>
      </c>
      <c r="S84">
        <v>1</v>
      </c>
      <c r="T84">
        <v>0</v>
      </c>
      <c r="U84">
        <v>0</v>
      </c>
      <c r="W84" t="str">
        <f>"17:41:35.188"</f>
        <v>17:41:35.188</v>
      </c>
      <c r="X84" t="str">
        <f>"17:41:34.788"</f>
        <v>17:41:34.788</v>
      </c>
      <c r="Y84" t="str">
        <f t="shared" si="11"/>
        <v>A7C771</v>
      </c>
      <c r="Z84">
        <v>0</v>
      </c>
      <c r="AA84">
        <v>0</v>
      </c>
      <c r="AB84">
        <v>2</v>
      </c>
      <c r="AC84">
        <v>0</v>
      </c>
      <c r="AE84">
        <v>0</v>
      </c>
      <c r="AF84">
        <v>8</v>
      </c>
      <c r="AG84">
        <v>3</v>
      </c>
      <c r="AH84">
        <v>0</v>
      </c>
      <c r="AI84">
        <v>9</v>
      </c>
      <c r="AJ84" t="s">
        <v>125</v>
      </c>
      <c r="AK84">
        <v>0</v>
      </c>
      <c r="AL84">
        <v>3</v>
      </c>
      <c r="AM84">
        <v>2</v>
      </c>
      <c r="AN84">
        <v>1</v>
      </c>
      <c r="AO84" t="s">
        <v>302</v>
      </c>
      <c r="AP84">
        <v>42.785611000000003</v>
      </c>
      <c r="AQ84" t="s">
        <v>303</v>
      </c>
      <c r="AR84">
        <v>-77.684691000000001</v>
      </c>
      <c r="AS84">
        <v>25</v>
      </c>
      <c r="AT84">
        <v>3575</v>
      </c>
      <c r="AU84" t="s">
        <v>123</v>
      </c>
      <c r="AV84">
        <v>84</v>
      </c>
      <c r="AW84">
        <v>147</v>
      </c>
      <c r="AX84">
        <v>-64</v>
      </c>
      <c r="AZ84">
        <f t="shared" si="16"/>
        <v>7056</v>
      </c>
      <c r="BA84">
        <f t="shared" si="17"/>
        <v>21609</v>
      </c>
      <c r="BB84" s="1">
        <f t="shared" si="18"/>
        <v>169.30741271426953</v>
      </c>
      <c r="BJ84">
        <v>1404</v>
      </c>
      <c r="BK84">
        <v>1</v>
      </c>
      <c r="BL84" t="str">
        <f t="shared" si="12"/>
        <v xml:space="preserve">N600C   </v>
      </c>
      <c r="BM84">
        <v>2</v>
      </c>
      <c r="BO84">
        <v>0</v>
      </c>
      <c r="BP84">
        <v>0</v>
      </c>
      <c r="BQ84">
        <v>0</v>
      </c>
      <c r="BR84">
        <v>3675</v>
      </c>
      <c r="BS84">
        <v>100</v>
      </c>
      <c r="BT84" t="s">
        <v>128</v>
      </c>
      <c r="BU84">
        <v>0</v>
      </c>
      <c r="BV84">
        <v>0</v>
      </c>
      <c r="BW84">
        <v>0</v>
      </c>
      <c r="BX84">
        <v>1</v>
      </c>
      <c r="CA84">
        <v>0</v>
      </c>
      <c r="CB84">
        <v>0</v>
      </c>
      <c r="CC84">
        <v>0</v>
      </c>
      <c r="CM84" t="str">
        <f>"17:41:35.194"</f>
        <v>17:41:35.194</v>
      </c>
      <c r="CN84">
        <v>193889168</v>
      </c>
      <c r="CQ84">
        <v>0</v>
      </c>
      <c r="CR84">
        <v>4000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2</v>
      </c>
      <c r="DC84">
        <v>0</v>
      </c>
      <c r="DD84">
        <v>2</v>
      </c>
      <c r="DE84">
        <v>0</v>
      </c>
      <c r="DF84">
        <v>7</v>
      </c>
      <c r="DG84">
        <v>7</v>
      </c>
      <c r="DH84" t="s">
        <v>124</v>
      </c>
      <c r="DI84">
        <v>71</v>
      </c>
      <c r="DJ84">
        <v>1</v>
      </c>
      <c r="DK84" t="s">
        <v>134</v>
      </c>
      <c r="DL84" t="s">
        <v>135</v>
      </c>
      <c r="DO84">
        <v>11280697</v>
      </c>
      <c r="DQ84">
        <v>0</v>
      </c>
      <c r="DR84">
        <v>0</v>
      </c>
      <c r="DS84">
        <v>1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</row>
    <row r="85" spans="1:131" x14ac:dyDescent="0.35">
      <c r="A85" s="2" t="str">
        <f>"17:41:36.395"</f>
        <v>17:41:36.395</v>
      </c>
      <c r="B85" s="4">
        <f t="shared" si="19"/>
        <v>63696.395000000004</v>
      </c>
      <c r="C85" s="4">
        <f t="shared" si="13"/>
        <v>96.395000000004075</v>
      </c>
      <c r="D85" s="3">
        <f t="shared" si="14"/>
        <v>0.7372267939814815</v>
      </c>
      <c r="E85" s="2">
        <f t="shared" si="15"/>
        <v>0.7372267939814815</v>
      </c>
      <c r="G85" t="str">
        <f t="shared" si="10"/>
        <v>FFDFD7C0</v>
      </c>
      <c r="H85" t="s">
        <v>126</v>
      </c>
      <c r="I85">
        <v>8</v>
      </c>
      <c r="J85">
        <v>1008</v>
      </c>
      <c r="K85" t="s">
        <v>129</v>
      </c>
      <c r="N85" t="s">
        <v>127</v>
      </c>
      <c r="O85">
        <v>0</v>
      </c>
      <c r="P85">
        <v>3</v>
      </c>
      <c r="Q85">
        <v>0</v>
      </c>
      <c r="R85">
        <v>2</v>
      </c>
      <c r="S85">
        <v>1</v>
      </c>
      <c r="T85">
        <v>0</v>
      </c>
      <c r="U85">
        <v>0</v>
      </c>
      <c r="W85" t="str">
        <f>"17:41:36.156"</f>
        <v>17:41:36.156</v>
      </c>
      <c r="X85" t="str">
        <f>"17:41:35.756"</f>
        <v>17:41:35.756</v>
      </c>
      <c r="Y85" t="str">
        <f t="shared" si="11"/>
        <v>A7C771</v>
      </c>
      <c r="Z85">
        <v>0</v>
      </c>
      <c r="AA85">
        <v>0</v>
      </c>
      <c r="AB85">
        <v>2</v>
      </c>
      <c r="AC85">
        <v>0</v>
      </c>
      <c r="AE85">
        <v>0</v>
      </c>
      <c r="AF85">
        <v>8</v>
      </c>
      <c r="AG85">
        <v>3</v>
      </c>
      <c r="AH85">
        <v>0</v>
      </c>
      <c r="AI85">
        <v>9</v>
      </c>
      <c r="AJ85" t="s">
        <v>125</v>
      </c>
      <c r="AK85">
        <v>0</v>
      </c>
      <c r="AL85">
        <v>3</v>
      </c>
      <c r="AM85">
        <v>2</v>
      </c>
      <c r="AN85">
        <v>1</v>
      </c>
      <c r="AO85" t="s">
        <v>304</v>
      </c>
      <c r="AP85">
        <v>42.786254999999997</v>
      </c>
      <c r="AQ85" t="s">
        <v>305</v>
      </c>
      <c r="AR85">
        <v>-77.684196999999998</v>
      </c>
      <c r="AS85">
        <v>25</v>
      </c>
      <c r="AT85">
        <v>3575</v>
      </c>
      <c r="AU85" t="s">
        <v>123</v>
      </c>
      <c r="AV85">
        <v>84</v>
      </c>
      <c r="AW85">
        <v>147</v>
      </c>
      <c r="AX85">
        <v>-64</v>
      </c>
      <c r="AZ85">
        <f t="shared" si="16"/>
        <v>7056</v>
      </c>
      <c r="BA85">
        <f t="shared" si="17"/>
        <v>21609</v>
      </c>
      <c r="BB85" s="1">
        <f t="shared" si="18"/>
        <v>169.30741271426953</v>
      </c>
      <c r="BJ85">
        <v>1404</v>
      </c>
      <c r="BK85">
        <v>1</v>
      </c>
      <c r="BL85" t="str">
        <f t="shared" si="12"/>
        <v xml:space="preserve">N600C   </v>
      </c>
      <c r="BM85">
        <v>2</v>
      </c>
      <c r="BO85">
        <v>0</v>
      </c>
      <c r="BP85">
        <v>0</v>
      </c>
      <c r="BQ85">
        <v>0</v>
      </c>
      <c r="BR85">
        <v>3675</v>
      </c>
      <c r="BS85">
        <v>100</v>
      </c>
      <c r="BT85" t="s">
        <v>128</v>
      </c>
      <c r="BU85">
        <v>0</v>
      </c>
      <c r="BV85">
        <v>0</v>
      </c>
      <c r="BW85">
        <v>0</v>
      </c>
      <c r="BX85">
        <v>1</v>
      </c>
      <c r="CA85">
        <v>0.04</v>
      </c>
      <c r="CB85">
        <v>0</v>
      </c>
      <c r="CC85">
        <v>0</v>
      </c>
      <c r="CM85" t="str">
        <f>"17:41:36.162"</f>
        <v>17:41:36.162</v>
      </c>
      <c r="CN85">
        <v>162064939</v>
      </c>
      <c r="CQ85">
        <v>0</v>
      </c>
      <c r="CR85">
        <v>4000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2</v>
      </c>
      <c r="DC85">
        <v>0</v>
      </c>
      <c r="DD85">
        <v>2</v>
      </c>
      <c r="DE85">
        <v>0</v>
      </c>
      <c r="DF85">
        <v>7</v>
      </c>
      <c r="DG85">
        <v>7</v>
      </c>
      <c r="DH85" t="s">
        <v>124</v>
      </c>
      <c r="DI85">
        <v>71</v>
      </c>
      <c r="DJ85">
        <v>1</v>
      </c>
      <c r="DK85" t="s">
        <v>134</v>
      </c>
      <c r="DL85" t="s">
        <v>135</v>
      </c>
      <c r="DO85">
        <v>11281649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</row>
    <row r="86" spans="1:131" x14ac:dyDescent="0.35">
      <c r="A86" s="2" t="str">
        <f>"17:41:37.520"</f>
        <v>17:41:37.520</v>
      </c>
      <c r="B86" s="4">
        <f t="shared" si="19"/>
        <v>63697.520000000004</v>
      </c>
      <c r="C86" s="4">
        <f t="shared" si="13"/>
        <v>97.520000000004075</v>
      </c>
      <c r="D86" s="3">
        <f t="shared" si="14"/>
        <v>0.73723981481481482</v>
      </c>
      <c r="E86" s="2">
        <f t="shared" si="15"/>
        <v>0.73723981481481482</v>
      </c>
      <c r="G86" t="str">
        <f t="shared" si="10"/>
        <v>FFDFD7C0</v>
      </c>
      <c r="H86" t="s">
        <v>126</v>
      </c>
      <c r="I86">
        <v>8</v>
      </c>
      <c r="J86">
        <v>1008</v>
      </c>
      <c r="K86" t="s">
        <v>129</v>
      </c>
      <c r="N86" t="s">
        <v>127</v>
      </c>
      <c r="O86">
        <v>0</v>
      </c>
      <c r="P86">
        <v>3</v>
      </c>
      <c r="Q86">
        <v>0</v>
      </c>
      <c r="R86">
        <v>2</v>
      </c>
      <c r="S86">
        <v>1</v>
      </c>
      <c r="T86">
        <v>0</v>
      </c>
      <c r="U86">
        <v>0</v>
      </c>
      <c r="W86" t="str">
        <f>"17:41:37.219"</f>
        <v>17:41:37.219</v>
      </c>
      <c r="X86" t="str">
        <f>"17:41:37.119"</f>
        <v>17:41:37.119</v>
      </c>
      <c r="Y86" t="str">
        <f t="shared" si="11"/>
        <v>A7C771</v>
      </c>
      <c r="Z86">
        <v>0</v>
      </c>
      <c r="AA86">
        <v>0</v>
      </c>
      <c r="AB86">
        <v>2</v>
      </c>
      <c r="AC86">
        <v>0</v>
      </c>
      <c r="AE86">
        <v>0</v>
      </c>
      <c r="AF86">
        <v>8</v>
      </c>
      <c r="AG86">
        <v>3</v>
      </c>
      <c r="AH86">
        <v>0</v>
      </c>
      <c r="AI86">
        <v>9</v>
      </c>
      <c r="AJ86" t="s">
        <v>125</v>
      </c>
      <c r="AK86">
        <v>0</v>
      </c>
      <c r="AL86">
        <v>3</v>
      </c>
      <c r="AM86">
        <v>2</v>
      </c>
      <c r="AN86">
        <v>1</v>
      </c>
      <c r="AO86" t="s">
        <v>306</v>
      </c>
      <c r="AP86">
        <v>42.787005999999998</v>
      </c>
      <c r="AQ86" t="s">
        <v>307</v>
      </c>
      <c r="AR86">
        <v>-77.683617999999996</v>
      </c>
      <c r="AS86">
        <v>25</v>
      </c>
      <c r="AT86">
        <v>3575</v>
      </c>
      <c r="AU86" t="s">
        <v>123</v>
      </c>
      <c r="AV86">
        <v>83</v>
      </c>
      <c r="AW86">
        <v>146</v>
      </c>
      <c r="AX86">
        <v>-64</v>
      </c>
      <c r="AZ86">
        <f t="shared" si="16"/>
        <v>6889</v>
      </c>
      <c r="BA86">
        <f t="shared" si="17"/>
        <v>21316</v>
      </c>
      <c r="BB86" s="1">
        <f t="shared" si="18"/>
        <v>167.94344286098223</v>
      </c>
      <c r="BJ86">
        <v>1404</v>
      </c>
      <c r="BK86">
        <v>1</v>
      </c>
      <c r="BL86" t="str">
        <f t="shared" si="12"/>
        <v xml:space="preserve">N600C   </v>
      </c>
      <c r="BM86">
        <v>2</v>
      </c>
      <c r="BO86">
        <v>0</v>
      </c>
      <c r="BP86">
        <v>0</v>
      </c>
      <c r="BQ86">
        <v>0</v>
      </c>
      <c r="BR86">
        <v>3675</v>
      </c>
      <c r="BS86">
        <v>100</v>
      </c>
      <c r="BT86" t="s">
        <v>128</v>
      </c>
      <c r="BU86">
        <v>0</v>
      </c>
      <c r="BV86">
        <v>0</v>
      </c>
      <c r="BW86">
        <v>0</v>
      </c>
      <c r="BX86">
        <v>1</v>
      </c>
      <c r="CA86">
        <v>0</v>
      </c>
      <c r="CB86">
        <v>0</v>
      </c>
      <c r="CC86">
        <v>0</v>
      </c>
      <c r="CM86" t="str">
        <f>"17:41:37.226"</f>
        <v>17:41:37.226</v>
      </c>
      <c r="CN86">
        <v>226260878</v>
      </c>
      <c r="CQ86">
        <v>0</v>
      </c>
      <c r="CR86">
        <v>4000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2</v>
      </c>
      <c r="DC86">
        <v>0</v>
      </c>
      <c r="DD86">
        <v>2</v>
      </c>
      <c r="DE86">
        <v>0</v>
      </c>
      <c r="DF86">
        <v>7</v>
      </c>
      <c r="DG86">
        <v>7</v>
      </c>
      <c r="DH86" t="s">
        <v>124</v>
      </c>
      <c r="DI86">
        <v>71</v>
      </c>
      <c r="DJ86">
        <v>2</v>
      </c>
      <c r="DK86" t="s">
        <v>134</v>
      </c>
      <c r="DL86" t="s">
        <v>135</v>
      </c>
      <c r="DO86">
        <v>772679</v>
      </c>
      <c r="DQ86">
        <v>0</v>
      </c>
      <c r="DR86">
        <v>0</v>
      </c>
      <c r="DS86">
        <v>1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</row>
    <row r="87" spans="1:131" x14ac:dyDescent="0.35">
      <c r="A87" s="2" t="str">
        <f>"17:41:38.475"</f>
        <v>17:41:38.475</v>
      </c>
      <c r="B87" s="4">
        <f t="shared" si="19"/>
        <v>63698.474999999999</v>
      </c>
      <c r="C87" s="4">
        <f t="shared" si="13"/>
        <v>98.474999999998545</v>
      </c>
      <c r="D87" s="3">
        <f t="shared" si="14"/>
        <v>0.73725086805555551</v>
      </c>
      <c r="E87" s="2">
        <f t="shared" si="15"/>
        <v>0.73725086805555551</v>
      </c>
      <c r="G87" t="str">
        <f t="shared" si="10"/>
        <v>FFDFD7C0</v>
      </c>
      <c r="H87" t="s">
        <v>126</v>
      </c>
      <c r="I87">
        <v>8</v>
      </c>
      <c r="J87">
        <v>1008</v>
      </c>
      <c r="K87" t="s">
        <v>129</v>
      </c>
      <c r="N87" t="s">
        <v>127</v>
      </c>
      <c r="O87">
        <v>0</v>
      </c>
      <c r="P87">
        <v>3</v>
      </c>
      <c r="Q87">
        <v>0</v>
      </c>
      <c r="R87">
        <v>2</v>
      </c>
      <c r="S87">
        <v>1</v>
      </c>
      <c r="T87">
        <v>0</v>
      </c>
      <c r="U87">
        <v>0</v>
      </c>
      <c r="W87" t="str">
        <f>"17:41:38.203"</f>
        <v>17:41:38.203</v>
      </c>
      <c r="X87" t="str">
        <f>"17:41:38.103"</f>
        <v>17:41:38.103</v>
      </c>
      <c r="Y87" t="str">
        <f t="shared" si="11"/>
        <v>A7C771</v>
      </c>
      <c r="Z87">
        <v>0</v>
      </c>
      <c r="AA87">
        <v>0</v>
      </c>
      <c r="AB87">
        <v>2</v>
      </c>
      <c r="AC87">
        <v>0</v>
      </c>
      <c r="AE87">
        <v>0</v>
      </c>
      <c r="AF87">
        <v>8</v>
      </c>
      <c r="AG87">
        <v>3</v>
      </c>
      <c r="AH87">
        <v>0</v>
      </c>
      <c r="AI87">
        <v>9</v>
      </c>
      <c r="AJ87" t="s">
        <v>125</v>
      </c>
      <c r="AK87">
        <v>0</v>
      </c>
      <c r="AL87">
        <v>3</v>
      </c>
      <c r="AM87">
        <v>2</v>
      </c>
      <c r="AN87">
        <v>1</v>
      </c>
      <c r="AO87" t="s">
        <v>308</v>
      </c>
      <c r="AP87">
        <v>42.787692999999997</v>
      </c>
      <c r="AQ87" t="s">
        <v>309</v>
      </c>
      <c r="AR87">
        <v>-77.683038999999994</v>
      </c>
      <c r="AS87">
        <v>25</v>
      </c>
      <c r="AT87">
        <v>3575</v>
      </c>
      <c r="AU87" t="s">
        <v>123</v>
      </c>
      <c r="AV87">
        <v>83</v>
      </c>
      <c r="AW87">
        <v>145</v>
      </c>
      <c r="AX87">
        <v>-128</v>
      </c>
      <c r="AZ87">
        <f t="shared" si="16"/>
        <v>6889</v>
      </c>
      <c r="BA87">
        <f t="shared" si="17"/>
        <v>21025</v>
      </c>
      <c r="BB87" s="1">
        <f t="shared" si="18"/>
        <v>167.0748335327616</v>
      </c>
      <c r="BJ87">
        <v>1404</v>
      </c>
      <c r="BK87">
        <v>1</v>
      </c>
      <c r="BL87" t="str">
        <f t="shared" si="12"/>
        <v xml:space="preserve">N600C   </v>
      </c>
      <c r="BM87">
        <v>2</v>
      </c>
      <c r="BO87">
        <v>0</v>
      </c>
      <c r="BP87">
        <v>0</v>
      </c>
      <c r="BQ87">
        <v>0</v>
      </c>
      <c r="BR87">
        <v>3675</v>
      </c>
      <c r="BS87">
        <v>100</v>
      </c>
      <c r="BT87" t="s">
        <v>128</v>
      </c>
      <c r="BU87">
        <v>0</v>
      </c>
      <c r="BV87">
        <v>0</v>
      </c>
      <c r="BW87">
        <v>0</v>
      </c>
      <c r="BX87">
        <v>1</v>
      </c>
      <c r="CA87">
        <v>0</v>
      </c>
      <c r="CB87">
        <v>0</v>
      </c>
      <c r="CC87">
        <v>0</v>
      </c>
      <c r="CM87" t="str">
        <f>"17:41:38.211"</f>
        <v>17:41:38.211</v>
      </c>
      <c r="CN87">
        <v>210531433</v>
      </c>
      <c r="CQ87">
        <v>0</v>
      </c>
      <c r="CR87">
        <v>4000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2</v>
      </c>
      <c r="DC87">
        <v>0</v>
      </c>
      <c r="DD87">
        <v>2</v>
      </c>
      <c r="DE87">
        <v>0</v>
      </c>
      <c r="DF87">
        <v>7</v>
      </c>
      <c r="DG87">
        <v>7</v>
      </c>
      <c r="DH87" t="s">
        <v>124</v>
      </c>
      <c r="DI87">
        <v>71</v>
      </c>
      <c r="DJ87">
        <v>1</v>
      </c>
      <c r="DK87" t="s">
        <v>134</v>
      </c>
      <c r="DL87" t="s">
        <v>135</v>
      </c>
      <c r="DO87">
        <v>11283422</v>
      </c>
      <c r="DQ87">
        <v>0</v>
      </c>
      <c r="DR87">
        <v>0</v>
      </c>
      <c r="DS87">
        <v>1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</row>
    <row r="88" spans="1:131" x14ac:dyDescent="0.35">
      <c r="A88" s="2" t="str">
        <f>"17:41:39.473"</f>
        <v>17:41:39.473</v>
      </c>
      <c r="B88" s="4">
        <f t="shared" si="19"/>
        <v>63699.472999999998</v>
      </c>
      <c r="C88" s="4">
        <f t="shared" si="13"/>
        <v>99.472999999998137</v>
      </c>
      <c r="D88" s="3">
        <f t="shared" si="14"/>
        <v>0.73726241898148148</v>
      </c>
      <c r="E88" s="2">
        <f t="shared" si="15"/>
        <v>0.73726241898148148</v>
      </c>
      <c r="G88" t="str">
        <f t="shared" si="10"/>
        <v>FFDFD7C0</v>
      </c>
      <c r="H88" t="s">
        <v>126</v>
      </c>
      <c r="I88">
        <v>8</v>
      </c>
      <c r="J88">
        <v>1008</v>
      </c>
      <c r="K88" t="s">
        <v>129</v>
      </c>
      <c r="N88" t="s">
        <v>127</v>
      </c>
      <c r="O88">
        <v>0</v>
      </c>
      <c r="P88">
        <v>3</v>
      </c>
      <c r="Q88">
        <v>0</v>
      </c>
      <c r="R88">
        <v>2</v>
      </c>
      <c r="S88">
        <v>1</v>
      </c>
      <c r="T88">
        <v>0</v>
      </c>
      <c r="U88">
        <v>0</v>
      </c>
      <c r="W88" t="str">
        <f>"17:41:39.203"</f>
        <v>17:41:39.203</v>
      </c>
      <c r="X88" t="str">
        <f>"17:41:39.103"</f>
        <v>17:41:39.103</v>
      </c>
      <c r="Y88" t="str">
        <f t="shared" si="11"/>
        <v>A7C771</v>
      </c>
      <c r="Z88">
        <v>0</v>
      </c>
      <c r="AA88">
        <v>0</v>
      </c>
      <c r="AB88">
        <v>2</v>
      </c>
      <c r="AC88">
        <v>0</v>
      </c>
      <c r="AE88">
        <v>0</v>
      </c>
      <c r="AF88">
        <v>8</v>
      </c>
      <c r="AG88">
        <v>3</v>
      </c>
      <c r="AH88">
        <v>0</v>
      </c>
      <c r="AI88">
        <v>9</v>
      </c>
      <c r="AJ88" t="s">
        <v>125</v>
      </c>
      <c r="AK88">
        <v>0</v>
      </c>
      <c r="AL88">
        <v>3</v>
      </c>
      <c r="AM88">
        <v>2</v>
      </c>
      <c r="AN88">
        <v>1</v>
      </c>
      <c r="AO88" t="s">
        <v>310</v>
      </c>
      <c r="AP88">
        <v>42.788358000000002</v>
      </c>
      <c r="AQ88" t="s">
        <v>311</v>
      </c>
      <c r="AR88">
        <v>-77.682545000000005</v>
      </c>
      <c r="AS88">
        <v>25</v>
      </c>
      <c r="AT88">
        <v>3575</v>
      </c>
      <c r="AU88" t="s">
        <v>123</v>
      </c>
      <c r="AV88">
        <v>83</v>
      </c>
      <c r="AW88">
        <v>145</v>
      </c>
      <c r="AX88">
        <v>-128</v>
      </c>
      <c r="AZ88">
        <f t="shared" si="16"/>
        <v>6889</v>
      </c>
      <c r="BA88">
        <f t="shared" si="17"/>
        <v>21025</v>
      </c>
      <c r="BB88" s="1">
        <f t="shared" si="18"/>
        <v>167.0748335327616</v>
      </c>
      <c r="BJ88">
        <v>1404</v>
      </c>
      <c r="BK88">
        <v>1</v>
      </c>
      <c r="BL88" t="str">
        <f t="shared" si="12"/>
        <v xml:space="preserve">N600C   </v>
      </c>
      <c r="BM88">
        <v>2</v>
      </c>
      <c r="BO88">
        <v>0</v>
      </c>
      <c r="BP88">
        <v>0</v>
      </c>
      <c r="BQ88">
        <v>0</v>
      </c>
      <c r="BR88">
        <v>3675</v>
      </c>
      <c r="BS88">
        <v>100</v>
      </c>
      <c r="BT88" t="s">
        <v>128</v>
      </c>
      <c r="BU88">
        <v>0</v>
      </c>
      <c r="BV88">
        <v>0</v>
      </c>
      <c r="BW88">
        <v>0</v>
      </c>
      <c r="BX88">
        <v>1</v>
      </c>
      <c r="CA88">
        <v>0</v>
      </c>
      <c r="CB88">
        <v>0</v>
      </c>
      <c r="CC88">
        <v>0</v>
      </c>
      <c r="CM88" t="str">
        <f>"17:41:39.211"</f>
        <v>17:41:39.211</v>
      </c>
      <c r="CN88">
        <v>210624739</v>
      </c>
      <c r="CQ88">
        <v>0</v>
      </c>
      <c r="CR88">
        <v>4000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2</v>
      </c>
      <c r="DC88">
        <v>0</v>
      </c>
      <c r="DD88">
        <v>2</v>
      </c>
      <c r="DE88">
        <v>0</v>
      </c>
      <c r="DF88">
        <v>7</v>
      </c>
      <c r="DG88">
        <v>7</v>
      </c>
      <c r="DH88" t="s">
        <v>124</v>
      </c>
      <c r="DI88">
        <v>71</v>
      </c>
      <c r="DJ88">
        <v>1</v>
      </c>
      <c r="DK88" t="s">
        <v>134</v>
      </c>
      <c r="DL88" t="s">
        <v>135</v>
      </c>
      <c r="DO88">
        <v>11284299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</row>
    <row r="89" spans="1:131" x14ac:dyDescent="0.35">
      <c r="A89" s="2" t="str">
        <f>"17:41:40.504"</f>
        <v>17:41:40.504</v>
      </c>
      <c r="B89" s="4">
        <f t="shared" si="19"/>
        <v>63700.504000000001</v>
      </c>
      <c r="C89" s="4">
        <f t="shared" si="13"/>
        <v>100.50400000000081</v>
      </c>
      <c r="D89" s="3">
        <f t="shared" si="14"/>
        <v>0.73727435185185186</v>
      </c>
      <c r="E89" s="2">
        <f t="shared" si="15"/>
        <v>0.73727435185185186</v>
      </c>
      <c r="G89" t="str">
        <f t="shared" si="10"/>
        <v>FFDFD7C0</v>
      </c>
      <c r="H89" t="s">
        <v>126</v>
      </c>
      <c r="I89">
        <v>8</v>
      </c>
      <c r="J89">
        <v>1008</v>
      </c>
      <c r="K89" t="s">
        <v>129</v>
      </c>
      <c r="N89" t="s">
        <v>127</v>
      </c>
      <c r="O89">
        <v>0</v>
      </c>
      <c r="P89">
        <v>3</v>
      </c>
      <c r="Q89">
        <v>0</v>
      </c>
      <c r="R89">
        <v>2</v>
      </c>
      <c r="S89">
        <v>1</v>
      </c>
      <c r="T89">
        <v>0</v>
      </c>
      <c r="U89">
        <v>0</v>
      </c>
      <c r="W89" t="str">
        <f>"17:41:40.219"</f>
        <v>17:41:40.219</v>
      </c>
      <c r="X89" t="str">
        <f>"17:41:39.619"</f>
        <v>17:41:39.619</v>
      </c>
      <c r="Y89" t="str">
        <f t="shared" si="11"/>
        <v>A7C771</v>
      </c>
      <c r="Z89">
        <v>0</v>
      </c>
      <c r="AA89">
        <v>0</v>
      </c>
      <c r="AB89">
        <v>2</v>
      </c>
      <c r="AC89">
        <v>0</v>
      </c>
      <c r="AE89">
        <v>0</v>
      </c>
      <c r="AF89">
        <v>8</v>
      </c>
      <c r="AG89">
        <v>3</v>
      </c>
      <c r="AH89">
        <v>0</v>
      </c>
      <c r="AI89">
        <v>9</v>
      </c>
      <c r="AJ89" t="s">
        <v>125</v>
      </c>
      <c r="AK89">
        <v>0</v>
      </c>
      <c r="AL89">
        <v>3</v>
      </c>
      <c r="AM89">
        <v>2</v>
      </c>
      <c r="AN89">
        <v>1</v>
      </c>
      <c r="AO89" t="s">
        <v>312</v>
      </c>
      <c r="AP89">
        <v>42.789000999999999</v>
      </c>
      <c r="AQ89" t="s">
        <v>313</v>
      </c>
      <c r="AR89">
        <v>-77.682029999999997</v>
      </c>
      <c r="AS89">
        <v>25</v>
      </c>
      <c r="AT89">
        <v>3575</v>
      </c>
      <c r="AU89" t="s">
        <v>123</v>
      </c>
      <c r="AV89">
        <v>82</v>
      </c>
      <c r="AW89">
        <v>144</v>
      </c>
      <c r="AX89">
        <v>-192</v>
      </c>
      <c r="AZ89">
        <f t="shared" si="16"/>
        <v>6724</v>
      </c>
      <c r="BA89">
        <f t="shared" si="17"/>
        <v>20736</v>
      </c>
      <c r="BB89" s="1">
        <f t="shared" si="18"/>
        <v>165.71059109181888</v>
      </c>
      <c r="BJ89">
        <v>1404</v>
      </c>
      <c r="BK89">
        <v>1</v>
      </c>
      <c r="BL89" t="str">
        <f t="shared" si="12"/>
        <v xml:space="preserve">N600C   </v>
      </c>
      <c r="BM89">
        <v>2</v>
      </c>
      <c r="BO89">
        <v>0</v>
      </c>
      <c r="BP89">
        <v>0</v>
      </c>
      <c r="BQ89">
        <v>0</v>
      </c>
      <c r="BR89">
        <v>3675</v>
      </c>
      <c r="BS89">
        <v>100</v>
      </c>
      <c r="BT89" t="s">
        <v>128</v>
      </c>
      <c r="BU89">
        <v>0</v>
      </c>
      <c r="BV89">
        <v>0</v>
      </c>
      <c r="BW89">
        <v>0</v>
      </c>
      <c r="BX89">
        <v>1</v>
      </c>
      <c r="CA89">
        <v>0</v>
      </c>
      <c r="CB89">
        <v>0</v>
      </c>
      <c r="CC89">
        <v>0</v>
      </c>
      <c r="CM89" t="str">
        <f>"17:41:40.219"</f>
        <v>17:41:40.219</v>
      </c>
      <c r="CN89">
        <v>218810924</v>
      </c>
      <c r="CQ89">
        <v>0</v>
      </c>
      <c r="CR89">
        <v>4000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2</v>
      </c>
      <c r="DC89">
        <v>0</v>
      </c>
      <c r="DD89">
        <v>2</v>
      </c>
      <c r="DE89">
        <v>0</v>
      </c>
      <c r="DF89">
        <v>7</v>
      </c>
      <c r="DG89">
        <v>7</v>
      </c>
      <c r="DH89" t="s">
        <v>124</v>
      </c>
      <c r="DI89">
        <v>71</v>
      </c>
      <c r="DJ89">
        <v>1</v>
      </c>
      <c r="DK89" t="s">
        <v>134</v>
      </c>
      <c r="DL89" t="s">
        <v>135</v>
      </c>
      <c r="DO89">
        <v>11285155</v>
      </c>
      <c r="DQ89">
        <v>0</v>
      </c>
      <c r="DR89">
        <v>0</v>
      </c>
      <c r="DS89">
        <v>1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</row>
    <row r="90" spans="1:131" x14ac:dyDescent="0.35">
      <c r="A90" s="2" t="str">
        <f>"17:41:41.489"</f>
        <v>17:41:41.489</v>
      </c>
      <c r="B90" s="4">
        <f t="shared" si="19"/>
        <v>63701.489000000001</v>
      </c>
      <c r="C90" s="4">
        <f t="shared" si="13"/>
        <v>101.4890000000014</v>
      </c>
      <c r="D90" s="3">
        <f t="shared" si="14"/>
        <v>0.73728575231481486</v>
      </c>
      <c r="E90" s="2">
        <f t="shared" si="15"/>
        <v>0.73728575231481486</v>
      </c>
      <c r="G90" t="str">
        <f t="shared" si="10"/>
        <v>FFDFD7C0</v>
      </c>
      <c r="H90" t="s">
        <v>126</v>
      </c>
      <c r="I90">
        <v>8</v>
      </c>
      <c r="J90">
        <v>1008</v>
      </c>
      <c r="K90" t="s">
        <v>129</v>
      </c>
      <c r="N90" t="s">
        <v>127</v>
      </c>
      <c r="O90">
        <v>0</v>
      </c>
      <c r="P90">
        <v>3</v>
      </c>
      <c r="Q90">
        <v>0</v>
      </c>
      <c r="R90">
        <v>2</v>
      </c>
      <c r="S90">
        <v>1</v>
      </c>
      <c r="T90">
        <v>0</v>
      </c>
      <c r="U90">
        <v>0</v>
      </c>
      <c r="W90" t="str">
        <f>"17:41:41.219"</f>
        <v>17:41:41.219</v>
      </c>
      <c r="X90" t="str">
        <f>"17:41:41.019"</f>
        <v>17:41:41.019</v>
      </c>
      <c r="Y90" t="str">
        <f t="shared" si="11"/>
        <v>A7C771</v>
      </c>
      <c r="Z90">
        <v>0</v>
      </c>
      <c r="AA90">
        <v>0</v>
      </c>
      <c r="AB90">
        <v>2</v>
      </c>
      <c r="AC90">
        <v>0</v>
      </c>
      <c r="AE90">
        <v>0</v>
      </c>
      <c r="AF90">
        <v>8</v>
      </c>
      <c r="AG90">
        <v>3</v>
      </c>
      <c r="AH90">
        <v>0</v>
      </c>
      <c r="AI90">
        <v>9</v>
      </c>
      <c r="AJ90" t="s">
        <v>125</v>
      </c>
      <c r="AK90">
        <v>0</v>
      </c>
      <c r="AL90">
        <v>3</v>
      </c>
      <c r="AM90">
        <v>2</v>
      </c>
      <c r="AN90">
        <v>1</v>
      </c>
      <c r="AO90" t="s">
        <v>314</v>
      </c>
      <c r="AP90">
        <v>42.789645</v>
      </c>
      <c r="AQ90" t="s">
        <v>315</v>
      </c>
      <c r="AR90">
        <v>-77.681515000000005</v>
      </c>
      <c r="AS90">
        <v>25</v>
      </c>
      <c r="AT90">
        <v>3575</v>
      </c>
      <c r="AU90" t="s">
        <v>123</v>
      </c>
      <c r="AV90">
        <v>82</v>
      </c>
      <c r="AW90">
        <v>143</v>
      </c>
      <c r="AX90">
        <v>-192</v>
      </c>
      <c r="AZ90">
        <f t="shared" si="16"/>
        <v>6724</v>
      </c>
      <c r="BA90">
        <f t="shared" si="17"/>
        <v>20449</v>
      </c>
      <c r="BB90" s="1">
        <f t="shared" si="18"/>
        <v>164.84234892769516</v>
      </c>
      <c r="BJ90">
        <v>1404</v>
      </c>
      <c r="BK90">
        <v>1</v>
      </c>
      <c r="BL90" t="str">
        <f t="shared" si="12"/>
        <v xml:space="preserve">N600C   </v>
      </c>
      <c r="BM90">
        <v>2</v>
      </c>
      <c r="BO90">
        <v>0</v>
      </c>
      <c r="BP90">
        <v>0</v>
      </c>
      <c r="BQ90">
        <v>0</v>
      </c>
      <c r="BR90">
        <v>3675</v>
      </c>
      <c r="BS90">
        <v>100</v>
      </c>
      <c r="BT90" t="s">
        <v>128</v>
      </c>
      <c r="BU90">
        <v>0</v>
      </c>
      <c r="BV90">
        <v>0</v>
      </c>
      <c r="BW90">
        <v>0</v>
      </c>
      <c r="BX90">
        <v>1</v>
      </c>
      <c r="CA90">
        <v>0</v>
      </c>
      <c r="CB90">
        <v>0</v>
      </c>
      <c r="CC90">
        <v>0</v>
      </c>
      <c r="CM90" t="str">
        <f>"17:41:41.219"</f>
        <v>17:41:41.219</v>
      </c>
      <c r="CN90">
        <v>218990733</v>
      </c>
      <c r="CQ90">
        <v>0</v>
      </c>
      <c r="CR90">
        <v>4000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2</v>
      </c>
      <c r="DC90">
        <v>0</v>
      </c>
      <c r="DD90">
        <v>2</v>
      </c>
      <c r="DE90">
        <v>0</v>
      </c>
      <c r="DF90">
        <v>7</v>
      </c>
      <c r="DG90">
        <v>7</v>
      </c>
      <c r="DH90" t="s">
        <v>124</v>
      </c>
      <c r="DI90">
        <v>71</v>
      </c>
      <c r="DJ90">
        <v>1</v>
      </c>
      <c r="DK90" t="s">
        <v>134</v>
      </c>
      <c r="DL90" t="s">
        <v>135</v>
      </c>
      <c r="DO90">
        <v>11286120</v>
      </c>
      <c r="DQ90">
        <v>0</v>
      </c>
      <c r="DR90">
        <v>0</v>
      </c>
      <c r="DS90">
        <v>1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</row>
    <row r="91" spans="1:131" x14ac:dyDescent="0.35">
      <c r="A91" s="2" t="str">
        <f>"17:41:42.536"</f>
        <v>17:41:42.536</v>
      </c>
      <c r="B91" s="4">
        <f t="shared" si="19"/>
        <v>63702.536000000007</v>
      </c>
      <c r="C91" s="4">
        <f t="shared" si="13"/>
        <v>102.53600000000733</v>
      </c>
      <c r="D91" s="3">
        <f t="shared" si="14"/>
        <v>0.73729787037037042</v>
      </c>
      <c r="E91" s="2">
        <f t="shared" si="15"/>
        <v>0.73729787037037042</v>
      </c>
      <c r="G91" t="str">
        <f t="shared" si="10"/>
        <v>FFDFD7C0</v>
      </c>
      <c r="H91" t="s">
        <v>126</v>
      </c>
      <c r="I91">
        <v>8</v>
      </c>
      <c r="J91">
        <v>1008</v>
      </c>
      <c r="K91" t="s">
        <v>129</v>
      </c>
      <c r="N91" t="s">
        <v>127</v>
      </c>
      <c r="O91">
        <v>0</v>
      </c>
      <c r="P91">
        <v>3</v>
      </c>
      <c r="Q91">
        <v>0</v>
      </c>
      <c r="R91">
        <v>2</v>
      </c>
      <c r="S91">
        <v>1</v>
      </c>
      <c r="T91">
        <v>0</v>
      </c>
      <c r="U91">
        <v>0</v>
      </c>
      <c r="W91" t="str">
        <f>"17:41:42.234"</f>
        <v>17:41:42.234</v>
      </c>
      <c r="X91" t="str">
        <f>"17:41:41.934"</f>
        <v>17:41:41.934</v>
      </c>
      <c r="Y91" t="str">
        <f t="shared" si="11"/>
        <v>A7C771</v>
      </c>
      <c r="Z91">
        <v>0</v>
      </c>
      <c r="AA91">
        <v>0</v>
      </c>
      <c r="AB91">
        <v>2</v>
      </c>
      <c r="AC91">
        <v>0</v>
      </c>
      <c r="AE91">
        <v>0</v>
      </c>
      <c r="AF91">
        <v>8</v>
      </c>
      <c r="AG91">
        <v>3</v>
      </c>
      <c r="AH91">
        <v>0</v>
      </c>
      <c r="AI91">
        <v>9</v>
      </c>
      <c r="AJ91" t="s">
        <v>125</v>
      </c>
      <c r="AK91">
        <v>0</v>
      </c>
      <c r="AL91">
        <v>3</v>
      </c>
      <c r="AM91">
        <v>2</v>
      </c>
      <c r="AN91">
        <v>1</v>
      </c>
      <c r="AO91" t="s">
        <v>316</v>
      </c>
      <c r="AP91">
        <v>42.790353000000003</v>
      </c>
      <c r="AQ91" t="s">
        <v>317</v>
      </c>
      <c r="AR91">
        <v>-77.680999999999997</v>
      </c>
      <c r="AS91">
        <v>25</v>
      </c>
      <c r="AT91">
        <v>3575</v>
      </c>
      <c r="AU91" t="s">
        <v>123</v>
      </c>
      <c r="AV91">
        <v>82</v>
      </c>
      <c r="AW91">
        <v>142</v>
      </c>
      <c r="AX91">
        <v>-256</v>
      </c>
      <c r="AZ91">
        <f t="shared" si="16"/>
        <v>6724</v>
      </c>
      <c r="BA91">
        <f t="shared" si="17"/>
        <v>20164</v>
      </c>
      <c r="BB91" s="1">
        <f t="shared" si="18"/>
        <v>163.97560794215707</v>
      </c>
      <c r="BJ91">
        <v>1404</v>
      </c>
      <c r="BK91">
        <v>1</v>
      </c>
      <c r="BL91" t="str">
        <f t="shared" si="12"/>
        <v xml:space="preserve">N600C   </v>
      </c>
      <c r="BM91">
        <v>2</v>
      </c>
      <c r="BO91">
        <v>0</v>
      </c>
      <c r="BP91">
        <v>0</v>
      </c>
      <c r="BQ91">
        <v>0</v>
      </c>
      <c r="BR91">
        <v>3675</v>
      </c>
      <c r="BS91">
        <v>100</v>
      </c>
      <c r="BT91" t="s">
        <v>128</v>
      </c>
      <c r="BU91">
        <v>0</v>
      </c>
      <c r="BV91">
        <v>0</v>
      </c>
      <c r="BW91">
        <v>0</v>
      </c>
      <c r="BX91">
        <v>1</v>
      </c>
      <c r="CA91">
        <v>0</v>
      </c>
      <c r="CB91">
        <v>0</v>
      </c>
      <c r="CC91">
        <v>0</v>
      </c>
      <c r="CM91" t="str">
        <f>"17:41:42.235"</f>
        <v>17:41:42.235</v>
      </c>
      <c r="CN91">
        <v>235181545</v>
      </c>
      <c r="CQ91">
        <v>0</v>
      </c>
      <c r="CR91">
        <v>4000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2</v>
      </c>
      <c r="DC91">
        <v>0</v>
      </c>
      <c r="DD91">
        <v>2</v>
      </c>
      <c r="DE91">
        <v>0</v>
      </c>
      <c r="DF91">
        <v>7</v>
      </c>
      <c r="DG91">
        <v>7</v>
      </c>
      <c r="DH91" t="s">
        <v>124</v>
      </c>
      <c r="DI91">
        <v>71</v>
      </c>
      <c r="DJ91">
        <v>2</v>
      </c>
      <c r="DK91" t="s">
        <v>134</v>
      </c>
      <c r="DL91" t="s">
        <v>135</v>
      </c>
      <c r="DO91">
        <v>777381</v>
      </c>
      <c r="DQ91">
        <v>0</v>
      </c>
      <c r="DR91">
        <v>0</v>
      </c>
      <c r="DS91">
        <v>1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</row>
    <row r="92" spans="1:131" x14ac:dyDescent="0.35">
      <c r="A92" s="2" t="str">
        <f>"17:41:43.474"</f>
        <v>17:41:43.474</v>
      </c>
      <c r="B92" s="4">
        <f t="shared" si="19"/>
        <v>63703.474000000002</v>
      </c>
      <c r="C92" s="4">
        <f t="shared" si="13"/>
        <v>103.47400000000198</v>
      </c>
      <c r="D92" s="3">
        <f t="shared" si="14"/>
        <v>0.73730872685185189</v>
      </c>
      <c r="E92" s="2">
        <f t="shared" si="15"/>
        <v>0.73730872685185189</v>
      </c>
      <c r="G92" t="str">
        <f t="shared" si="10"/>
        <v>FFDFD7C0</v>
      </c>
      <c r="H92" t="s">
        <v>126</v>
      </c>
      <c r="I92">
        <v>8</v>
      </c>
      <c r="J92">
        <v>1008</v>
      </c>
      <c r="K92" t="s">
        <v>129</v>
      </c>
      <c r="N92" t="s">
        <v>127</v>
      </c>
      <c r="O92">
        <v>0</v>
      </c>
      <c r="P92">
        <v>3</v>
      </c>
      <c r="Q92">
        <v>0</v>
      </c>
      <c r="R92">
        <v>2</v>
      </c>
      <c r="S92">
        <v>1</v>
      </c>
      <c r="T92">
        <v>0</v>
      </c>
      <c r="U92">
        <v>0</v>
      </c>
      <c r="W92" t="str">
        <f>"17:41:43.227"</f>
        <v>17:41:43.227</v>
      </c>
      <c r="X92" t="str">
        <f>"17:41:43.127"</f>
        <v>17:41:43.127</v>
      </c>
      <c r="Y92" t="str">
        <f t="shared" si="11"/>
        <v>A7C771</v>
      </c>
      <c r="Z92">
        <v>0</v>
      </c>
      <c r="AA92">
        <v>0</v>
      </c>
      <c r="AB92">
        <v>2</v>
      </c>
      <c r="AC92">
        <v>0</v>
      </c>
      <c r="AE92">
        <v>0</v>
      </c>
      <c r="AF92">
        <v>8</v>
      </c>
      <c r="AG92">
        <v>3</v>
      </c>
      <c r="AH92">
        <v>0</v>
      </c>
      <c r="AI92">
        <v>9</v>
      </c>
      <c r="AJ92" t="s">
        <v>125</v>
      </c>
      <c r="AK92">
        <v>0</v>
      </c>
      <c r="AL92">
        <v>3</v>
      </c>
      <c r="AM92">
        <v>2</v>
      </c>
      <c r="AN92">
        <v>1</v>
      </c>
      <c r="AO92" t="s">
        <v>318</v>
      </c>
      <c r="AP92">
        <v>42.790996999999997</v>
      </c>
      <c r="AQ92" t="s">
        <v>319</v>
      </c>
      <c r="AR92">
        <v>-77.680485000000004</v>
      </c>
      <c r="AS92">
        <v>25</v>
      </c>
      <c r="AT92">
        <v>3575</v>
      </c>
      <c r="AU92" t="s">
        <v>123</v>
      </c>
      <c r="AV92">
        <v>82</v>
      </c>
      <c r="AW92">
        <v>142</v>
      </c>
      <c r="AX92">
        <v>-192</v>
      </c>
      <c r="AZ92">
        <f t="shared" si="16"/>
        <v>6724</v>
      </c>
      <c r="BA92">
        <f t="shared" si="17"/>
        <v>20164</v>
      </c>
      <c r="BB92" s="1">
        <f t="shared" si="18"/>
        <v>163.97560794215707</v>
      </c>
      <c r="BJ92">
        <v>1404</v>
      </c>
      <c r="BK92">
        <v>1</v>
      </c>
      <c r="BL92" t="str">
        <f t="shared" si="12"/>
        <v xml:space="preserve">N600C   </v>
      </c>
      <c r="BM92">
        <v>2</v>
      </c>
      <c r="BO92">
        <v>0</v>
      </c>
      <c r="BP92">
        <v>0</v>
      </c>
      <c r="BQ92">
        <v>0</v>
      </c>
      <c r="BR92">
        <v>3675</v>
      </c>
      <c r="BS92">
        <v>100</v>
      </c>
      <c r="BT92" t="s">
        <v>128</v>
      </c>
      <c r="BU92">
        <v>0</v>
      </c>
      <c r="BV92">
        <v>0</v>
      </c>
      <c r="BW92">
        <v>0</v>
      </c>
      <c r="BX92">
        <v>1</v>
      </c>
      <c r="CA92">
        <v>0</v>
      </c>
      <c r="CB92">
        <v>0</v>
      </c>
      <c r="CC92">
        <v>0</v>
      </c>
      <c r="CM92" t="str">
        <f>"17:41:43.227"</f>
        <v>17:41:43.227</v>
      </c>
      <c r="CN92">
        <v>227369282</v>
      </c>
      <c r="CQ92">
        <v>0</v>
      </c>
      <c r="CR92">
        <v>4000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2</v>
      </c>
      <c r="DC92">
        <v>0</v>
      </c>
      <c r="DD92">
        <v>2</v>
      </c>
      <c r="DE92">
        <v>0</v>
      </c>
      <c r="DF92">
        <v>7</v>
      </c>
      <c r="DG92">
        <v>7</v>
      </c>
      <c r="DH92" t="s">
        <v>124</v>
      </c>
      <c r="DI92">
        <v>71</v>
      </c>
      <c r="DJ92">
        <v>1</v>
      </c>
      <c r="DK92" t="s">
        <v>134</v>
      </c>
      <c r="DL92" t="s">
        <v>135</v>
      </c>
      <c r="DO92">
        <v>11287795</v>
      </c>
      <c r="DQ92">
        <v>0</v>
      </c>
      <c r="DR92">
        <v>0</v>
      </c>
      <c r="DS92">
        <v>1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</row>
    <row r="93" spans="1:131" x14ac:dyDescent="0.35">
      <c r="A93" s="2" t="str">
        <f>"17:41:44.364"</f>
        <v>17:41:44.364</v>
      </c>
      <c r="B93" s="4">
        <f t="shared" si="19"/>
        <v>63704.364000000001</v>
      </c>
      <c r="C93" s="4">
        <f t="shared" si="13"/>
        <v>104.3640000000014</v>
      </c>
      <c r="D93" s="3">
        <f t="shared" si="14"/>
        <v>0.7373190277777778</v>
      </c>
      <c r="E93" s="2">
        <f t="shared" si="15"/>
        <v>0.7373190277777778</v>
      </c>
      <c r="G93" t="str">
        <f t="shared" si="10"/>
        <v>FFDFD7C0</v>
      </c>
      <c r="H93" t="s">
        <v>126</v>
      </c>
      <c r="I93">
        <v>8</v>
      </c>
      <c r="J93">
        <v>1008</v>
      </c>
      <c r="K93" t="s">
        <v>129</v>
      </c>
      <c r="N93" t="s">
        <v>127</v>
      </c>
      <c r="O93">
        <v>0</v>
      </c>
      <c r="P93">
        <v>3</v>
      </c>
      <c r="Q93">
        <v>0</v>
      </c>
      <c r="R93">
        <v>2</v>
      </c>
      <c r="S93">
        <v>1</v>
      </c>
      <c r="T93">
        <v>0</v>
      </c>
      <c r="U93">
        <v>0</v>
      </c>
      <c r="W93" t="str">
        <f>"17:41:44.094"</f>
        <v>17:41:44.094</v>
      </c>
      <c r="X93" t="str">
        <f>"17:41:43.694"</f>
        <v>17:41:43.694</v>
      </c>
      <c r="Y93" t="str">
        <f t="shared" si="11"/>
        <v>A7C771</v>
      </c>
      <c r="Z93">
        <v>0</v>
      </c>
      <c r="AA93">
        <v>0</v>
      </c>
      <c r="AB93">
        <v>2</v>
      </c>
      <c r="AC93">
        <v>0</v>
      </c>
      <c r="AE93">
        <v>0</v>
      </c>
      <c r="AF93">
        <v>8</v>
      </c>
      <c r="AG93">
        <v>3</v>
      </c>
      <c r="AH93">
        <v>0</v>
      </c>
      <c r="AI93">
        <v>9</v>
      </c>
      <c r="AJ93" t="s">
        <v>125</v>
      </c>
      <c r="AK93">
        <v>0</v>
      </c>
      <c r="AL93">
        <v>3</v>
      </c>
      <c r="AM93">
        <v>2</v>
      </c>
      <c r="AN93">
        <v>1</v>
      </c>
      <c r="AO93" t="s">
        <v>320</v>
      </c>
      <c r="AP93">
        <v>42.791511999999997</v>
      </c>
      <c r="AQ93" t="s">
        <v>321</v>
      </c>
      <c r="AR93">
        <v>-77.680120000000002</v>
      </c>
      <c r="AS93">
        <v>25</v>
      </c>
      <c r="AT93">
        <v>3575</v>
      </c>
      <c r="AU93" t="s">
        <v>123</v>
      </c>
      <c r="AV93">
        <v>81</v>
      </c>
      <c r="AW93">
        <v>141</v>
      </c>
      <c r="AX93">
        <v>-128</v>
      </c>
      <c r="AZ93">
        <f t="shared" si="16"/>
        <v>6561</v>
      </c>
      <c r="BA93">
        <f t="shared" si="17"/>
        <v>19881</v>
      </c>
      <c r="BB93" s="1">
        <f t="shared" si="18"/>
        <v>162.60996279441184</v>
      </c>
      <c r="BJ93">
        <v>1404</v>
      </c>
      <c r="BK93">
        <v>1</v>
      </c>
      <c r="BL93" t="str">
        <f t="shared" si="12"/>
        <v xml:space="preserve">N600C   </v>
      </c>
      <c r="BM93">
        <v>2</v>
      </c>
      <c r="BO93">
        <v>0</v>
      </c>
      <c r="BP93">
        <v>0</v>
      </c>
      <c r="BQ93">
        <v>0</v>
      </c>
      <c r="BR93">
        <v>3675</v>
      </c>
      <c r="BS93">
        <v>100</v>
      </c>
      <c r="BT93" t="s">
        <v>128</v>
      </c>
      <c r="BU93">
        <v>0</v>
      </c>
      <c r="BV93">
        <v>0</v>
      </c>
      <c r="BW93">
        <v>0</v>
      </c>
      <c r="BX93">
        <v>1</v>
      </c>
      <c r="CA93">
        <v>0</v>
      </c>
      <c r="CB93">
        <v>0</v>
      </c>
      <c r="CC93">
        <v>0</v>
      </c>
      <c r="CM93" t="str">
        <f>"17:41:44.100"</f>
        <v>17:41:44.100</v>
      </c>
      <c r="CN93">
        <v>99519793</v>
      </c>
      <c r="CQ93">
        <v>0</v>
      </c>
      <c r="CR93">
        <v>4000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2</v>
      </c>
      <c r="DC93">
        <v>0</v>
      </c>
      <c r="DD93">
        <v>2</v>
      </c>
      <c r="DE93">
        <v>0</v>
      </c>
      <c r="DF93">
        <v>7</v>
      </c>
      <c r="DG93">
        <v>7</v>
      </c>
      <c r="DH93" t="s">
        <v>124</v>
      </c>
      <c r="DI93">
        <v>71</v>
      </c>
      <c r="DJ93">
        <v>1</v>
      </c>
      <c r="DK93" t="s">
        <v>134</v>
      </c>
      <c r="DL93" t="s">
        <v>135</v>
      </c>
      <c r="DO93">
        <v>11288539</v>
      </c>
      <c r="DQ93">
        <v>0</v>
      </c>
      <c r="DR93">
        <v>0</v>
      </c>
      <c r="DS93">
        <v>1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</row>
    <row r="94" spans="1:131" x14ac:dyDescent="0.35">
      <c r="A94" s="2" t="str">
        <f>"17:41:45.271"</f>
        <v>17:41:45.271</v>
      </c>
      <c r="B94" s="4">
        <f t="shared" si="19"/>
        <v>63705.271000000001</v>
      </c>
      <c r="C94" s="4">
        <f t="shared" si="13"/>
        <v>105.27100000000064</v>
      </c>
      <c r="D94" s="3">
        <f t="shared" si="14"/>
        <v>0.73732952546296293</v>
      </c>
      <c r="E94" s="2">
        <f t="shared" si="15"/>
        <v>0.73732952546296293</v>
      </c>
      <c r="G94" t="str">
        <f t="shared" si="10"/>
        <v>FFDFD7C0</v>
      </c>
      <c r="H94" t="s">
        <v>126</v>
      </c>
      <c r="I94">
        <v>8</v>
      </c>
      <c r="J94">
        <v>1008</v>
      </c>
      <c r="K94" t="s">
        <v>129</v>
      </c>
      <c r="N94" t="s">
        <v>127</v>
      </c>
      <c r="O94">
        <v>0</v>
      </c>
      <c r="P94">
        <v>3</v>
      </c>
      <c r="Q94">
        <v>0</v>
      </c>
      <c r="R94">
        <v>2</v>
      </c>
      <c r="S94">
        <v>1</v>
      </c>
      <c r="T94">
        <v>0</v>
      </c>
      <c r="U94">
        <v>0</v>
      </c>
      <c r="W94" t="str">
        <f>"17:41:45.031"</f>
        <v>17:41:45.031</v>
      </c>
      <c r="X94" t="str">
        <f>"17:41:44.831"</f>
        <v>17:41:44.831</v>
      </c>
      <c r="Y94" t="str">
        <f t="shared" si="11"/>
        <v>A7C771</v>
      </c>
      <c r="Z94">
        <v>0</v>
      </c>
      <c r="AA94">
        <v>0</v>
      </c>
      <c r="AB94">
        <v>2</v>
      </c>
      <c r="AC94">
        <v>0</v>
      </c>
      <c r="AE94">
        <v>0</v>
      </c>
      <c r="AF94">
        <v>8</v>
      </c>
      <c r="AG94">
        <v>3</v>
      </c>
      <c r="AH94">
        <v>0</v>
      </c>
      <c r="AI94">
        <v>9</v>
      </c>
      <c r="AJ94" t="s">
        <v>125</v>
      </c>
      <c r="AK94">
        <v>0</v>
      </c>
      <c r="AL94">
        <v>3</v>
      </c>
      <c r="AM94">
        <v>2</v>
      </c>
      <c r="AN94">
        <v>1</v>
      </c>
      <c r="AO94" t="s">
        <v>322</v>
      </c>
      <c r="AP94">
        <v>42.792177000000002</v>
      </c>
      <c r="AQ94" t="s">
        <v>323</v>
      </c>
      <c r="AR94">
        <v>-77.679604999999995</v>
      </c>
      <c r="AS94">
        <v>25</v>
      </c>
      <c r="AT94">
        <v>3550</v>
      </c>
      <c r="AU94" t="s">
        <v>123</v>
      </c>
      <c r="AV94">
        <v>81</v>
      </c>
      <c r="AW94">
        <v>140</v>
      </c>
      <c r="AX94">
        <v>-64</v>
      </c>
      <c r="AZ94">
        <f t="shared" si="16"/>
        <v>6561</v>
      </c>
      <c r="BA94">
        <f t="shared" si="17"/>
        <v>19600</v>
      </c>
      <c r="BB94" s="1">
        <f t="shared" si="18"/>
        <v>161.74362429474616</v>
      </c>
      <c r="BJ94">
        <v>1404</v>
      </c>
      <c r="BK94">
        <v>1</v>
      </c>
      <c r="BL94" t="str">
        <f t="shared" si="12"/>
        <v xml:space="preserve">N600C   </v>
      </c>
      <c r="BM94">
        <v>2</v>
      </c>
      <c r="BO94">
        <v>0</v>
      </c>
      <c r="BP94">
        <v>0</v>
      </c>
      <c r="BQ94">
        <v>0</v>
      </c>
      <c r="BR94">
        <v>3650</v>
      </c>
      <c r="BS94">
        <v>100</v>
      </c>
      <c r="BT94" t="s">
        <v>128</v>
      </c>
      <c r="BU94">
        <v>0</v>
      </c>
      <c r="BV94">
        <v>0</v>
      </c>
      <c r="BW94">
        <v>0</v>
      </c>
      <c r="BX94">
        <v>1</v>
      </c>
      <c r="CA94">
        <v>0</v>
      </c>
      <c r="CB94">
        <v>0</v>
      </c>
      <c r="CC94">
        <v>0</v>
      </c>
      <c r="CM94" t="str">
        <f>"17:41:45.036"</f>
        <v>17:41:45.036</v>
      </c>
      <c r="CN94">
        <v>35694084</v>
      </c>
      <c r="CQ94">
        <v>0</v>
      </c>
      <c r="CR94">
        <v>4000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2</v>
      </c>
      <c r="DC94">
        <v>0</v>
      </c>
      <c r="DD94">
        <v>2</v>
      </c>
      <c r="DE94">
        <v>0</v>
      </c>
      <c r="DF94">
        <v>7</v>
      </c>
      <c r="DG94">
        <v>7</v>
      </c>
      <c r="DH94" t="s">
        <v>124</v>
      </c>
      <c r="DI94">
        <v>71</v>
      </c>
      <c r="DJ94">
        <v>1</v>
      </c>
      <c r="DK94" t="s">
        <v>134</v>
      </c>
      <c r="DL94" t="s">
        <v>135</v>
      </c>
      <c r="DO94">
        <v>11289364</v>
      </c>
      <c r="DQ94">
        <v>0</v>
      </c>
      <c r="DR94">
        <v>0</v>
      </c>
      <c r="DS94">
        <v>1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</row>
    <row r="95" spans="1:131" x14ac:dyDescent="0.35">
      <c r="A95" s="2" t="str">
        <f>"17:41:46.194"</f>
        <v>17:41:46.194</v>
      </c>
      <c r="B95" s="4">
        <f t="shared" si="19"/>
        <v>63706.194000000003</v>
      </c>
      <c r="C95" s="4">
        <f t="shared" si="13"/>
        <v>106.19400000000314</v>
      </c>
      <c r="D95" s="3">
        <f t="shared" si="14"/>
        <v>0.73734020833333336</v>
      </c>
      <c r="E95" s="2">
        <f t="shared" si="15"/>
        <v>0.73734020833333336</v>
      </c>
      <c r="G95" t="str">
        <f t="shared" si="10"/>
        <v>FFDFD7C0</v>
      </c>
      <c r="H95" t="s">
        <v>126</v>
      </c>
      <c r="I95">
        <v>8</v>
      </c>
      <c r="J95">
        <v>1008</v>
      </c>
      <c r="K95" t="s">
        <v>129</v>
      </c>
      <c r="N95" t="s">
        <v>127</v>
      </c>
      <c r="O95">
        <v>0</v>
      </c>
      <c r="P95">
        <v>3</v>
      </c>
      <c r="Q95">
        <v>0</v>
      </c>
      <c r="R95">
        <v>2</v>
      </c>
      <c r="S95">
        <v>1</v>
      </c>
      <c r="T95">
        <v>0</v>
      </c>
      <c r="U95">
        <v>0</v>
      </c>
      <c r="W95" t="str">
        <f>"17:41:46.000"</f>
        <v>17:41:46.000</v>
      </c>
      <c r="X95" t="str">
        <f>"17:41:45.800"</f>
        <v>17:41:45.800</v>
      </c>
      <c r="Y95" t="str">
        <f t="shared" si="11"/>
        <v>A7C771</v>
      </c>
      <c r="Z95">
        <v>0</v>
      </c>
      <c r="AA95">
        <v>0</v>
      </c>
      <c r="AB95">
        <v>2</v>
      </c>
      <c r="AC95">
        <v>0</v>
      </c>
      <c r="AE95">
        <v>0</v>
      </c>
      <c r="AF95">
        <v>8</v>
      </c>
      <c r="AG95">
        <v>3</v>
      </c>
      <c r="AH95">
        <v>0</v>
      </c>
      <c r="AI95">
        <v>9</v>
      </c>
      <c r="AJ95" t="s">
        <v>125</v>
      </c>
      <c r="AK95">
        <v>0</v>
      </c>
      <c r="AL95">
        <v>3</v>
      </c>
      <c r="AM95">
        <v>2</v>
      </c>
      <c r="AN95">
        <v>1</v>
      </c>
      <c r="AO95" t="s">
        <v>324</v>
      </c>
      <c r="AP95">
        <v>42.792757000000002</v>
      </c>
      <c r="AQ95" t="s">
        <v>325</v>
      </c>
      <c r="AR95">
        <v>-77.679154999999994</v>
      </c>
      <c r="AS95">
        <v>25</v>
      </c>
      <c r="AT95">
        <v>3550</v>
      </c>
      <c r="AU95" t="s">
        <v>123</v>
      </c>
      <c r="AV95">
        <v>81</v>
      </c>
      <c r="AW95">
        <v>140</v>
      </c>
      <c r="AX95">
        <v>-64</v>
      </c>
      <c r="AZ95">
        <f t="shared" si="16"/>
        <v>6561</v>
      </c>
      <c r="BA95">
        <f t="shared" si="17"/>
        <v>19600</v>
      </c>
      <c r="BB95" s="1">
        <f t="shared" si="18"/>
        <v>161.74362429474616</v>
      </c>
      <c r="BJ95">
        <v>1404</v>
      </c>
      <c r="BK95">
        <v>1</v>
      </c>
      <c r="BL95" t="str">
        <f t="shared" si="12"/>
        <v xml:space="preserve">N600C   </v>
      </c>
      <c r="BM95">
        <v>2</v>
      </c>
      <c r="BO95">
        <v>0</v>
      </c>
      <c r="BP95">
        <v>0</v>
      </c>
      <c r="BQ95">
        <v>0</v>
      </c>
      <c r="BR95">
        <v>3650</v>
      </c>
      <c r="BS95">
        <v>100</v>
      </c>
      <c r="BT95" t="s">
        <v>128</v>
      </c>
      <c r="BU95">
        <v>0</v>
      </c>
      <c r="BV95">
        <v>0</v>
      </c>
      <c r="BW95">
        <v>0</v>
      </c>
      <c r="BX95">
        <v>1</v>
      </c>
      <c r="CA95">
        <v>0</v>
      </c>
      <c r="CB95">
        <v>0</v>
      </c>
      <c r="CC95">
        <v>0</v>
      </c>
      <c r="CM95" t="str">
        <f>"17:41:46.004"</f>
        <v>17:41:46.004</v>
      </c>
      <c r="CN95">
        <v>3928665</v>
      </c>
      <c r="CQ95">
        <v>0</v>
      </c>
      <c r="CR95">
        <v>4000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2</v>
      </c>
      <c r="DC95">
        <v>0</v>
      </c>
      <c r="DD95">
        <v>2</v>
      </c>
      <c r="DE95">
        <v>0</v>
      </c>
      <c r="DF95">
        <v>7</v>
      </c>
      <c r="DG95">
        <v>7</v>
      </c>
      <c r="DH95" t="s">
        <v>124</v>
      </c>
      <c r="DI95">
        <v>407</v>
      </c>
      <c r="DJ95">
        <v>3</v>
      </c>
      <c r="DK95" t="s">
        <v>132</v>
      </c>
      <c r="DL95" t="s">
        <v>133</v>
      </c>
      <c r="DO95">
        <v>1320346</v>
      </c>
      <c r="DQ95">
        <v>0</v>
      </c>
      <c r="DR95">
        <v>0</v>
      </c>
      <c r="DS95">
        <v>1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</row>
    <row r="96" spans="1:131" x14ac:dyDescent="0.35">
      <c r="A96" s="2" t="str">
        <f>"17:41:47.459"</f>
        <v>17:41:47.459</v>
      </c>
      <c r="B96" s="4">
        <f t="shared" si="19"/>
        <v>63707.45900000001</v>
      </c>
      <c r="C96" s="4">
        <f t="shared" si="13"/>
        <v>107.45900000000984</v>
      </c>
      <c r="D96" s="3">
        <f t="shared" si="14"/>
        <v>0.73735484953703712</v>
      </c>
      <c r="E96" s="2">
        <f t="shared" si="15"/>
        <v>0.73735484953703712</v>
      </c>
      <c r="G96" t="str">
        <f t="shared" si="10"/>
        <v>FFDFD7C0</v>
      </c>
      <c r="H96" t="s">
        <v>126</v>
      </c>
      <c r="I96">
        <v>8</v>
      </c>
      <c r="J96">
        <v>1008</v>
      </c>
      <c r="K96" t="s">
        <v>129</v>
      </c>
      <c r="N96" t="s">
        <v>127</v>
      </c>
      <c r="O96">
        <v>0</v>
      </c>
      <c r="P96">
        <v>3</v>
      </c>
      <c r="Q96">
        <v>0</v>
      </c>
      <c r="R96">
        <v>2</v>
      </c>
      <c r="S96">
        <v>1</v>
      </c>
      <c r="T96">
        <v>0</v>
      </c>
      <c r="U96">
        <v>0</v>
      </c>
      <c r="W96" t="str">
        <f>"17:41:47.078"</f>
        <v>17:41:47.078</v>
      </c>
      <c r="X96" t="str">
        <f>"17:41:46.678"</f>
        <v>17:41:46.678</v>
      </c>
      <c r="Y96" t="str">
        <f t="shared" si="11"/>
        <v>A7C771</v>
      </c>
      <c r="Z96">
        <v>0</v>
      </c>
      <c r="AA96">
        <v>0</v>
      </c>
      <c r="AB96">
        <v>2</v>
      </c>
      <c r="AC96">
        <v>0</v>
      </c>
      <c r="AE96">
        <v>0</v>
      </c>
      <c r="AF96">
        <v>8</v>
      </c>
      <c r="AG96">
        <v>3</v>
      </c>
      <c r="AH96">
        <v>0</v>
      </c>
      <c r="AI96">
        <v>9</v>
      </c>
      <c r="AJ96" t="s">
        <v>125</v>
      </c>
      <c r="AK96">
        <v>0</v>
      </c>
      <c r="AL96">
        <v>3</v>
      </c>
      <c r="AM96">
        <v>2</v>
      </c>
      <c r="AN96">
        <v>1</v>
      </c>
      <c r="AO96" t="s">
        <v>326</v>
      </c>
      <c r="AP96">
        <v>42.793464999999998</v>
      </c>
      <c r="AQ96" t="s">
        <v>327</v>
      </c>
      <c r="AR96">
        <v>-77.678576000000007</v>
      </c>
      <c r="AS96">
        <v>25</v>
      </c>
      <c r="AT96">
        <v>3550</v>
      </c>
      <c r="AU96" t="s">
        <v>123</v>
      </c>
      <c r="AV96">
        <v>81</v>
      </c>
      <c r="AW96">
        <v>140</v>
      </c>
      <c r="AX96">
        <v>0</v>
      </c>
      <c r="AZ96">
        <f t="shared" si="16"/>
        <v>6561</v>
      </c>
      <c r="BA96">
        <f t="shared" si="17"/>
        <v>19600</v>
      </c>
      <c r="BB96" s="1">
        <f t="shared" si="18"/>
        <v>161.74362429474616</v>
      </c>
      <c r="BJ96">
        <v>1404</v>
      </c>
      <c r="BK96">
        <v>1</v>
      </c>
      <c r="BL96" t="str">
        <f t="shared" si="12"/>
        <v xml:space="preserve">N600C   </v>
      </c>
      <c r="BM96">
        <v>2</v>
      </c>
      <c r="BO96">
        <v>0</v>
      </c>
      <c r="BP96">
        <v>0</v>
      </c>
      <c r="BQ96">
        <v>0</v>
      </c>
      <c r="BR96">
        <v>3650</v>
      </c>
      <c r="BS96">
        <v>100</v>
      </c>
      <c r="BT96" t="s">
        <v>128</v>
      </c>
      <c r="BU96">
        <v>0</v>
      </c>
      <c r="BV96">
        <v>0</v>
      </c>
      <c r="BW96">
        <v>0</v>
      </c>
      <c r="BX96">
        <v>1</v>
      </c>
      <c r="CA96">
        <v>0</v>
      </c>
      <c r="CB96">
        <v>0</v>
      </c>
      <c r="CC96">
        <v>0</v>
      </c>
      <c r="CM96" t="str">
        <f>"17:41:47.084"</f>
        <v>17:41:47.084</v>
      </c>
      <c r="CN96">
        <v>84050749</v>
      </c>
      <c r="CQ96">
        <v>0</v>
      </c>
      <c r="CR96">
        <v>4000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2</v>
      </c>
      <c r="DC96">
        <v>0</v>
      </c>
      <c r="DD96">
        <v>2</v>
      </c>
      <c r="DE96">
        <v>0</v>
      </c>
      <c r="DF96">
        <v>7</v>
      </c>
      <c r="DG96">
        <v>7</v>
      </c>
      <c r="DH96" t="s">
        <v>124</v>
      </c>
      <c r="DI96">
        <v>71</v>
      </c>
      <c r="DJ96">
        <v>1</v>
      </c>
      <c r="DK96" t="s">
        <v>134</v>
      </c>
      <c r="DL96" t="s">
        <v>135</v>
      </c>
      <c r="DO96">
        <v>11291213</v>
      </c>
      <c r="DQ96">
        <v>0</v>
      </c>
      <c r="DR96">
        <v>0</v>
      </c>
      <c r="DS96">
        <v>1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</row>
    <row r="97" spans="1:131" x14ac:dyDescent="0.35">
      <c r="A97" s="2" t="str">
        <f>"17:41:49.145"</f>
        <v>17:41:49.145</v>
      </c>
      <c r="B97" s="4">
        <f t="shared" si="19"/>
        <v>63709.144999999997</v>
      </c>
      <c r="C97" s="4">
        <f t="shared" si="13"/>
        <v>109.1449999999968</v>
      </c>
      <c r="D97" s="3">
        <f t="shared" si="14"/>
        <v>0.73737436342592588</v>
      </c>
      <c r="E97" s="2">
        <f t="shared" si="15"/>
        <v>0.73737436342592588</v>
      </c>
      <c r="G97" t="str">
        <f t="shared" si="10"/>
        <v>FFDFD7C0</v>
      </c>
      <c r="H97" t="s">
        <v>126</v>
      </c>
      <c r="I97">
        <v>8</v>
      </c>
      <c r="J97">
        <v>1008</v>
      </c>
      <c r="K97" t="s">
        <v>129</v>
      </c>
      <c r="N97" t="s">
        <v>127</v>
      </c>
      <c r="O97">
        <v>0</v>
      </c>
      <c r="P97">
        <v>3</v>
      </c>
      <c r="Q97">
        <v>0</v>
      </c>
      <c r="R97">
        <v>2</v>
      </c>
      <c r="S97">
        <v>1</v>
      </c>
      <c r="T97">
        <v>0</v>
      </c>
      <c r="U97">
        <v>0</v>
      </c>
      <c r="W97" t="str">
        <f>"17:41:48.938"</f>
        <v>17:41:48.938</v>
      </c>
      <c r="X97" t="str">
        <f>"17:41:48.838"</f>
        <v>17:41:48.838</v>
      </c>
      <c r="Y97" t="str">
        <f t="shared" si="11"/>
        <v>A7C771</v>
      </c>
      <c r="Z97">
        <v>0</v>
      </c>
      <c r="AA97">
        <v>0</v>
      </c>
      <c r="AB97">
        <v>2</v>
      </c>
      <c r="AC97">
        <v>0</v>
      </c>
      <c r="AE97">
        <v>0</v>
      </c>
      <c r="AF97">
        <v>8</v>
      </c>
      <c r="AG97">
        <v>3</v>
      </c>
      <c r="AH97">
        <v>0</v>
      </c>
      <c r="AI97">
        <v>9</v>
      </c>
      <c r="AJ97" t="s">
        <v>125</v>
      </c>
      <c r="AK97">
        <v>0</v>
      </c>
      <c r="AL97">
        <v>3</v>
      </c>
      <c r="AM97">
        <v>2</v>
      </c>
      <c r="AN97">
        <v>1</v>
      </c>
      <c r="AO97" t="s">
        <v>328</v>
      </c>
      <c r="AP97">
        <v>42.794688000000001</v>
      </c>
      <c r="AQ97" t="s">
        <v>329</v>
      </c>
      <c r="AR97">
        <v>-77.677653000000007</v>
      </c>
      <c r="AS97">
        <v>25</v>
      </c>
      <c r="AT97">
        <v>3575</v>
      </c>
      <c r="AU97" t="s">
        <v>123</v>
      </c>
      <c r="AV97">
        <v>80</v>
      </c>
      <c r="AW97">
        <v>140</v>
      </c>
      <c r="AX97">
        <v>128</v>
      </c>
      <c r="AZ97">
        <f t="shared" si="16"/>
        <v>6400</v>
      </c>
      <c r="BA97">
        <f t="shared" si="17"/>
        <v>19600</v>
      </c>
      <c r="BB97" s="1">
        <f t="shared" si="18"/>
        <v>161.24515496597098</v>
      </c>
      <c r="BJ97">
        <v>1404</v>
      </c>
      <c r="BK97">
        <v>1</v>
      </c>
      <c r="BL97" t="str">
        <f t="shared" si="12"/>
        <v xml:space="preserve">N600C   </v>
      </c>
      <c r="BM97">
        <v>2</v>
      </c>
      <c r="BO97">
        <v>0</v>
      </c>
      <c r="BP97">
        <v>0</v>
      </c>
      <c r="BQ97">
        <v>0</v>
      </c>
      <c r="BR97">
        <v>3675</v>
      </c>
      <c r="BS97">
        <v>100</v>
      </c>
      <c r="BT97" t="s">
        <v>128</v>
      </c>
      <c r="BU97">
        <v>0</v>
      </c>
      <c r="BV97">
        <v>0</v>
      </c>
      <c r="BW97">
        <v>0</v>
      </c>
      <c r="BX97">
        <v>1</v>
      </c>
      <c r="CA97">
        <v>0</v>
      </c>
      <c r="CB97">
        <v>0</v>
      </c>
      <c r="CC97">
        <v>0</v>
      </c>
      <c r="CM97" t="str">
        <f>"17:41:48.940"</f>
        <v>17:41:48.940</v>
      </c>
      <c r="CN97">
        <v>940392729</v>
      </c>
      <c r="CQ97">
        <v>0</v>
      </c>
      <c r="CR97">
        <v>4000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2</v>
      </c>
      <c r="DC97">
        <v>0</v>
      </c>
      <c r="DD97">
        <v>2</v>
      </c>
      <c r="DE97">
        <v>0</v>
      </c>
      <c r="DF97">
        <v>7</v>
      </c>
      <c r="DG97">
        <v>7</v>
      </c>
      <c r="DH97" t="s">
        <v>124</v>
      </c>
      <c r="DI97">
        <v>71</v>
      </c>
      <c r="DJ97">
        <v>1</v>
      </c>
      <c r="DK97" t="s">
        <v>134</v>
      </c>
      <c r="DL97" t="s">
        <v>135</v>
      </c>
      <c r="DO97">
        <v>11292795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</row>
    <row r="98" spans="1:131" x14ac:dyDescent="0.35">
      <c r="A98" s="2" t="str">
        <f>"17:41:50.223"</f>
        <v>17:41:50.223</v>
      </c>
      <c r="B98" s="4">
        <f t="shared" si="19"/>
        <v>63710.222999999998</v>
      </c>
      <c r="C98" s="4">
        <f t="shared" si="13"/>
        <v>110.22299999999814</v>
      </c>
      <c r="D98" s="3">
        <f t="shared" si="14"/>
        <v>0.73738684027777779</v>
      </c>
      <c r="E98" s="2">
        <f t="shared" si="15"/>
        <v>0.73738684027777779</v>
      </c>
      <c r="G98" t="str">
        <f t="shared" si="10"/>
        <v>FFDFD7C0</v>
      </c>
      <c r="H98" t="s">
        <v>126</v>
      </c>
      <c r="I98">
        <v>8</v>
      </c>
      <c r="J98">
        <v>1008</v>
      </c>
      <c r="K98" t="s">
        <v>129</v>
      </c>
      <c r="N98" t="s">
        <v>127</v>
      </c>
      <c r="O98">
        <v>0</v>
      </c>
      <c r="P98">
        <v>3</v>
      </c>
      <c r="Q98">
        <v>0</v>
      </c>
      <c r="R98">
        <v>2</v>
      </c>
      <c r="S98">
        <v>1</v>
      </c>
      <c r="T98">
        <v>0</v>
      </c>
      <c r="U98">
        <v>0</v>
      </c>
      <c r="W98" t="str">
        <f>"17:41:49.992"</f>
        <v>17:41:49.992</v>
      </c>
      <c r="X98" t="str">
        <f>"17:41:49.792"</f>
        <v>17:41:49.792</v>
      </c>
      <c r="Y98" t="str">
        <f t="shared" si="11"/>
        <v>A7C771</v>
      </c>
      <c r="Z98">
        <v>0</v>
      </c>
      <c r="AA98">
        <v>0</v>
      </c>
      <c r="AB98">
        <v>2</v>
      </c>
      <c r="AC98">
        <v>0</v>
      </c>
      <c r="AE98">
        <v>0</v>
      </c>
      <c r="AF98">
        <v>8</v>
      </c>
      <c r="AG98">
        <v>3</v>
      </c>
      <c r="AH98">
        <v>0</v>
      </c>
      <c r="AI98">
        <v>9</v>
      </c>
      <c r="AJ98" t="s">
        <v>125</v>
      </c>
      <c r="AK98">
        <v>0</v>
      </c>
      <c r="AL98">
        <v>3</v>
      </c>
      <c r="AM98">
        <v>2</v>
      </c>
      <c r="AN98">
        <v>1</v>
      </c>
      <c r="AO98" t="s">
        <v>330</v>
      </c>
      <c r="AP98">
        <v>42.795310000000001</v>
      </c>
      <c r="AQ98" t="s">
        <v>331</v>
      </c>
      <c r="AR98">
        <v>-77.677094999999994</v>
      </c>
      <c r="AS98">
        <v>25</v>
      </c>
      <c r="AT98">
        <v>3575</v>
      </c>
      <c r="AU98" t="s">
        <v>123</v>
      </c>
      <c r="AV98">
        <v>80</v>
      </c>
      <c r="AW98">
        <v>140</v>
      </c>
      <c r="AX98">
        <v>128</v>
      </c>
      <c r="AZ98">
        <f t="shared" si="16"/>
        <v>6400</v>
      </c>
      <c r="BA98">
        <f t="shared" si="17"/>
        <v>19600</v>
      </c>
      <c r="BB98" s="1">
        <f t="shared" si="18"/>
        <v>161.24515496597098</v>
      </c>
      <c r="BJ98">
        <v>1404</v>
      </c>
      <c r="BK98">
        <v>1</v>
      </c>
      <c r="BL98" t="str">
        <f t="shared" si="12"/>
        <v xml:space="preserve">N600C   </v>
      </c>
      <c r="BM98">
        <v>2</v>
      </c>
      <c r="BO98">
        <v>0</v>
      </c>
      <c r="BP98">
        <v>0</v>
      </c>
      <c r="BQ98">
        <v>0</v>
      </c>
      <c r="BR98">
        <v>3675</v>
      </c>
      <c r="BS98">
        <v>100</v>
      </c>
      <c r="BT98" t="s">
        <v>128</v>
      </c>
      <c r="BU98">
        <v>0</v>
      </c>
      <c r="BV98">
        <v>0</v>
      </c>
      <c r="BW98">
        <v>0</v>
      </c>
      <c r="BX98">
        <v>1</v>
      </c>
      <c r="CA98">
        <v>0</v>
      </c>
      <c r="CB98">
        <v>0</v>
      </c>
      <c r="CC98">
        <v>0</v>
      </c>
      <c r="CM98" t="str">
        <f>"17:41:49.997"</f>
        <v>17:41:49.997</v>
      </c>
      <c r="CN98">
        <v>996593100</v>
      </c>
      <c r="CQ98">
        <v>0</v>
      </c>
      <c r="CR98">
        <v>4000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2</v>
      </c>
      <c r="DC98">
        <v>0</v>
      </c>
      <c r="DD98">
        <v>2</v>
      </c>
      <c r="DE98">
        <v>0</v>
      </c>
      <c r="DF98">
        <v>7</v>
      </c>
      <c r="DG98">
        <v>7</v>
      </c>
      <c r="DH98" t="s">
        <v>124</v>
      </c>
      <c r="DI98">
        <v>71</v>
      </c>
      <c r="DJ98">
        <v>1</v>
      </c>
      <c r="DK98" t="s">
        <v>134</v>
      </c>
      <c r="DL98" t="s">
        <v>135</v>
      </c>
      <c r="DO98">
        <v>11293710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</row>
    <row r="99" spans="1:131" x14ac:dyDescent="0.35">
      <c r="A99" s="2" t="str">
        <f>"17:41:51.192"</f>
        <v>17:41:51.192</v>
      </c>
      <c r="B99" s="4">
        <f t="shared" si="19"/>
        <v>63711.192000000003</v>
      </c>
      <c r="C99" s="4">
        <f t="shared" si="13"/>
        <v>111.19200000000274</v>
      </c>
      <c r="D99" s="3">
        <f t="shared" si="14"/>
        <v>0.7373980555555556</v>
      </c>
      <c r="E99" s="2">
        <f t="shared" si="15"/>
        <v>0.7373980555555556</v>
      </c>
      <c r="G99" t="str">
        <f t="shared" si="10"/>
        <v>FFDFD7C0</v>
      </c>
      <c r="H99" t="s">
        <v>126</v>
      </c>
      <c r="I99">
        <v>8</v>
      </c>
      <c r="J99">
        <v>1008</v>
      </c>
      <c r="K99" t="s">
        <v>129</v>
      </c>
      <c r="N99" t="s">
        <v>127</v>
      </c>
      <c r="O99">
        <v>0</v>
      </c>
      <c r="P99">
        <v>3</v>
      </c>
      <c r="Q99">
        <v>0</v>
      </c>
      <c r="R99">
        <v>2</v>
      </c>
      <c r="S99">
        <v>1</v>
      </c>
      <c r="T99">
        <v>0</v>
      </c>
      <c r="U99">
        <v>0</v>
      </c>
      <c r="W99" t="str">
        <f>"17:41:50.953"</f>
        <v>17:41:50.953</v>
      </c>
      <c r="X99" t="str">
        <f>"17:41:50.753"</f>
        <v>17:41:50.753</v>
      </c>
      <c r="Y99" t="str">
        <f t="shared" si="11"/>
        <v>A7C771</v>
      </c>
      <c r="Z99">
        <v>0</v>
      </c>
      <c r="AA99">
        <v>0</v>
      </c>
      <c r="AB99">
        <v>2</v>
      </c>
      <c r="AC99">
        <v>0</v>
      </c>
      <c r="AE99">
        <v>0</v>
      </c>
      <c r="AF99">
        <v>8</v>
      </c>
      <c r="AG99">
        <v>3</v>
      </c>
      <c r="AH99">
        <v>0</v>
      </c>
      <c r="AI99">
        <v>9</v>
      </c>
      <c r="AJ99" t="s">
        <v>125</v>
      </c>
      <c r="AK99">
        <v>0</v>
      </c>
      <c r="AL99">
        <v>3</v>
      </c>
      <c r="AM99">
        <v>2</v>
      </c>
      <c r="AN99">
        <v>1</v>
      </c>
      <c r="AO99" t="s">
        <v>332</v>
      </c>
      <c r="AP99">
        <v>42.795954000000002</v>
      </c>
      <c r="AQ99" t="s">
        <v>333</v>
      </c>
      <c r="AR99">
        <v>-77.676643999999996</v>
      </c>
      <c r="AS99">
        <v>25</v>
      </c>
      <c r="AT99">
        <v>3575</v>
      </c>
      <c r="AU99" t="s">
        <v>123</v>
      </c>
      <c r="AV99">
        <v>80</v>
      </c>
      <c r="AW99">
        <v>140</v>
      </c>
      <c r="AX99">
        <v>192</v>
      </c>
      <c r="AZ99">
        <f t="shared" si="16"/>
        <v>6400</v>
      </c>
      <c r="BA99">
        <f t="shared" si="17"/>
        <v>19600</v>
      </c>
      <c r="BB99" s="1">
        <f t="shared" si="18"/>
        <v>161.24515496597098</v>
      </c>
      <c r="BJ99">
        <v>1404</v>
      </c>
      <c r="BK99">
        <v>1</v>
      </c>
      <c r="BL99" t="str">
        <f t="shared" si="12"/>
        <v xml:space="preserve">N600C   </v>
      </c>
      <c r="BM99">
        <v>2</v>
      </c>
      <c r="BO99">
        <v>0</v>
      </c>
      <c r="BP99">
        <v>0</v>
      </c>
      <c r="BQ99">
        <v>0</v>
      </c>
      <c r="BR99">
        <v>3675</v>
      </c>
      <c r="BS99">
        <v>100</v>
      </c>
      <c r="BT99" t="s">
        <v>128</v>
      </c>
      <c r="BU99">
        <v>0</v>
      </c>
      <c r="BV99">
        <v>0</v>
      </c>
      <c r="BW99">
        <v>0</v>
      </c>
      <c r="BX99">
        <v>1</v>
      </c>
      <c r="CA99">
        <v>0</v>
      </c>
      <c r="CB99">
        <v>0</v>
      </c>
      <c r="CC99">
        <v>0</v>
      </c>
      <c r="CM99" t="str">
        <f>"17:41:50.957"</f>
        <v>17:41:50.957</v>
      </c>
      <c r="CN99">
        <v>956829731</v>
      </c>
      <c r="CQ99">
        <v>0</v>
      </c>
      <c r="CR99">
        <v>4000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2</v>
      </c>
      <c r="DC99">
        <v>0</v>
      </c>
      <c r="DD99">
        <v>2</v>
      </c>
      <c r="DE99">
        <v>0</v>
      </c>
      <c r="DF99">
        <v>7</v>
      </c>
      <c r="DG99">
        <v>7</v>
      </c>
      <c r="DH99" t="s">
        <v>124</v>
      </c>
      <c r="DI99">
        <v>407</v>
      </c>
      <c r="DJ99">
        <v>3</v>
      </c>
      <c r="DK99" t="s">
        <v>132</v>
      </c>
      <c r="DL99" t="s">
        <v>133</v>
      </c>
      <c r="DO99">
        <v>1325209</v>
      </c>
      <c r="DQ99">
        <v>0</v>
      </c>
      <c r="DR99">
        <v>0</v>
      </c>
      <c r="DS99">
        <v>1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</row>
    <row r="100" spans="1:131" x14ac:dyDescent="0.35">
      <c r="A100" s="2" t="str">
        <f>"17:41:52.255"</f>
        <v>17:41:52.255</v>
      </c>
      <c r="B100" s="4">
        <f t="shared" si="19"/>
        <v>63712.254999999997</v>
      </c>
      <c r="C100" s="4">
        <f t="shared" si="13"/>
        <v>112.25499999999738</v>
      </c>
      <c r="D100" s="3">
        <f t="shared" si="14"/>
        <v>0.73741035879629624</v>
      </c>
      <c r="E100" s="2">
        <f t="shared" si="15"/>
        <v>0.73741035879629624</v>
      </c>
      <c r="G100" t="str">
        <f t="shared" si="10"/>
        <v>FFDFD7C0</v>
      </c>
      <c r="H100" t="s">
        <v>126</v>
      </c>
      <c r="I100">
        <v>8</v>
      </c>
      <c r="J100">
        <v>1008</v>
      </c>
      <c r="K100" t="s">
        <v>129</v>
      </c>
      <c r="N100" t="s">
        <v>127</v>
      </c>
      <c r="O100">
        <v>0</v>
      </c>
      <c r="P100">
        <v>3</v>
      </c>
      <c r="Q100">
        <v>0</v>
      </c>
      <c r="R100">
        <v>2</v>
      </c>
      <c r="S100">
        <v>1</v>
      </c>
      <c r="T100">
        <v>0</v>
      </c>
      <c r="U100">
        <v>0</v>
      </c>
      <c r="W100" t="str">
        <f>"17:41:51.961"</f>
        <v>17:41:51.961</v>
      </c>
      <c r="X100" t="str">
        <f>"17:41:51.761"</f>
        <v>17:41:51.761</v>
      </c>
      <c r="Y100" t="str">
        <f t="shared" si="11"/>
        <v>A7C771</v>
      </c>
      <c r="Z100">
        <v>0</v>
      </c>
      <c r="AA100">
        <v>0</v>
      </c>
      <c r="AB100">
        <v>2</v>
      </c>
      <c r="AC100">
        <v>0</v>
      </c>
      <c r="AE100">
        <v>0</v>
      </c>
      <c r="AF100">
        <v>8</v>
      </c>
      <c r="AG100">
        <v>3</v>
      </c>
      <c r="AH100">
        <v>0</v>
      </c>
      <c r="AI100">
        <v>9</v>
      </c>
      <c r="AJ100" t="s">
        <v>125</v>
      </c>
      <c r="AK100">
        <v>0</v>
      </c>
      <c r="AL100">
        <v>3</v>
      </c>
      <c r="AM100">
        <v>2</v>
      </c>
      <c r="AN100">
        <v>1</v>
      </c>
      <c r="AO100" t="s">
        <v>334</v>
      </c>
      <c r="AP100">
        <v>42.796596999999998</v>
      </c>
      <c r="AQ100" t="s">
        <v>335</v>
      </c>
      <c r="AR100">
        <v>-77.676085999999998</v>
      </c>
      <c r="AS100">
        <v>25</v>
      </c>
      <c r="AT100">
        <v>3575</v>
      </c>
      <c r="AU100" t="s">
        <v>123</v>
      </c>
      <c r="AV100">
        <v>80</v>
      </c>
      <c r="AW100">
        <v>140</v>
      </c>
      <c r="AX100">
        <v>128</v>
      </c>
      <c r="AZ100">
        <f t="shared" si="16"/>
        <v>6400</v>
      </c>
      <c r="BA100">
        <f t="shared" si="17"/>
        <v>19600</v>
      </c>
      <c r="BB100" s="1">
        <f t="shared" si="18"/>
        <v>161.24515496597098</v>
      </c>
      <c r="BJ100">
        <v>1404</v>
      </c>
      <c r="BK100">
        <v>1</v>
      </c>
      <c r="BL100" t="str">
        <f t="shared" si="12"/>
        <v xml:space="preserve">N600C   </v>
      </c>
      <c r="BM100">
        <v>2</v>
      </c>
      <c r="BO100">
        <v>0</v>
      </c>
      <c r="BP100">
        <v>0</v>
      </c>
      <c r="BQ100">
        <v>0</v>
      </c>
      <c r="BR100">
        <v>3675</v>
      </c>
      <c r="BS100">
        <v>100</v>
      </c>
      <c r="BT100" t="s">
        <v>128</v>
      </c>
      <c r="BU100">
        <v>0</v>
      </c>
      <c r="BV100">
        <v>0</v>
      </c>
      <c r="BW100">
        <v>0</v>
      </c>
      <c r="BX100">
        <v>1</v>
      </c>
      <c r="CA100">
        <v>0</v>
      </c>
      <c r="CB100">
        <v>0</v>
      </c>
      <c r="CC100">
        <v>0</v>
      </c>
      <c r="CM100" t="str">
        <f>"17:41:51.965"</f>
        <v>17:41:51.965</v>
      </c>
      <c r="CN100">
        <v>964945745</v>
      </c>
      <c r="CQ100">
        <v>0</v>
      </c>
      <c r="CR100">
        <v>4000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2</v>
      </c>
      <c r="DC100">
        <v>0</v>
      </c>
      <c r="DD100">
        <v>2</v>
      </c>
      <c r="DE100">
        <v>0</v>
      </c>
      <c r="DF100">
        <v>7</v>
      </c>
      <c r="DG100">
        <v>7</v>
      </c>
      <c r="DH100" t="s">
        <v>124</v>
      </c>
      <c r="DI100">
        <v>71</v>
      </c>
      <c r="DJ100">
        <v>1</v>
      </c>
      <c r="DK100" t="s">
        <v>134</v>
      </c>
      <c r="DL100" t="s">
        <v>135</v>
      </c>
      <c r="DO100">
        <v>11295453</v>
      </c>
      <c r="DQ100">
        <v>0</v>
      </c>
      <c r="DR100">
        <v>0</v>
      </c>
      <c r="DS100">
        <v>1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</row>
    <row r="101" spans="1:131" x14ac:dyDescent="0.35">
      <c r="A101" s="2" t="str">
        <f>"17:41:53.303"</f>
        <v>17:41:53.303</v>
      </c>
      <c r="B101" s="4">
        <f t="shared" si="19"/>
        <v>63713.303</v>
      </c>
      <c r="C101" s="4">
        <f t="shared" si="13"/>
        <v>113.30299999999988</v>
      </c>
      <c r="D101" s="3">
        <f t="shared" si="14"/>
        <v>0.73742248842592595</v>
      </c>
      <c r="E101" s="2">
        <f t="shared" si="15"/>
        <v>0.73742248842592595</v>
      </c>
      <c r="G101" t="str">
        <f t="shared" si="10"/>
        <v>FFDFD7C0</v>
      </c>
      <c r="H101" t="s">
        <v>126</v>
      </c>
      <c r="I101">
        <v>8</v>
      </c>
      <c r="J101">
        <v>1008</v>
      </c>
      <c r="K101" t="s">
        <v>129</v>
      </c>
      <c r="N101" t="s">
        <v>127</v>
      </c>
      <c r="O101">
        <v>0</v>
      </c>
      <c r="P101">
        <v>3</v>
      </c>
      <c r="Q101">
        <v>0</v>
      </c>
      <c r="R101">
        <v>2</v>
      </c>
      <c r="S101">
        <v>1</v>
      </c>
      <c r="T101">
        <v>0</v>
      </c>
      <c r="U101">
        <v>0</v>
      </c>
      <c r="W101" t="str">
        <f>"17:41:53.078"</f>
        <v>17:41:53.078</v>
      </c>
      <c r="X101" t="str">
        <f>"17:41:52.878"</f>
        <v>17:41:52.878</v>
      </c>
      <c r="Y101" t="str">
        <f t="shared" si="11"/>
        <v>A7C771</v>
      </c>
      <c r="Z101">
        <v>0</v>
      </c>
      <c r="AA101">
        <v>0</v>
      </c>
      <c r="AB101">
        <v>2</v>
      </c>
      <c r="AC101">
        <v>0</v>
      </c>
      <c r="AE101">
        <v>0</v>
      </c>
      <c r="AF101">
        <v>8</v>
      </c>
      <c r="AG101">
        <v>3</v>
      </c>
      <c r="AH101">
        <v>0</v>
      </c>
      <c r="AI101">
        <v>9</v>
      </c>
      <c r="AJ101" t="s">
        <v>125</v>
      </c>
      <c r="AK101">
        <v>0</v>
      </c>
      <c r="AL101">
        <v>3</v>
      </c>
      <c r="AM101">
        <v>2</v>
      </c>
      <c r="AN101">
        <v>1</v>
      </c>
      <c r="AO101" t="s">
        <v>336</v>
      </c>
      <c r="AP101">
        <v>42.797327000000003</v>
      </c>
      <c r="AQ101" t="s">
        <v>337</v>
      </c>
      <c r="AR101">
        <v>-77.675571000000005</v>
      </c>
      <c r="AS101">
        <v>25</v>
      </c>
      <c r="AT101">
        <v>3575</v>
      </c>
      <c r="AU101" t="s">
        <v>123</v>
      </c>
      <c r="AV101">
        <v>80</v>
      </c>
      <c r="AW101">
        <v>140</v>
      </c>
      <c r="AX101">
        <v>192</v>
      </c>
      <c r="AZ101">
        <f t="shared" si="16"/>
        <v>6400</v>
      </c>
      <c r="BA101">
        <f t="shared" si="17"/>
        <v>19600</v>
      </c>
      <c r="BB101" s="1">
        <f t="shared" si="18"/>
        <v>161.24515496597098</v>
      </c>
      <c r="BJ101">
        <v>1404</v>
      </c>
      <c r="BK101">
        <v>1</v>
      </c>
      <c r="BL101" t="str">
        <f t="shared" si="12"/>
        <v xml:space="preserve">N600C   </v>
      </c>
      <c r="BM101">
        <v>2</v>
      </c>
      <c r="BO101">
        <v>0</v>
      </c>
      <c r="BP101">
        <v>0</v>
      </c>
      <c r="BQ101">
        <v>0</v>
      </c>
      <c r="BR101">
        <v>3675</v>
      </c>
      <c r="BS101">
        <v>100</v>
      </c>
      <c r="BT101" t="s">
        <v>128</v>
      </c>
      <c r="BU101">
        <v>0</v>
      </c>
      <c r="BV101">
        <v>0</v>
      </c>
      <c r="BW101">
        <v>0</v>
      </c>
      <c r="BX101">
        <v>1</v>
      </c>
      <c r="CA101">
        <v>0</v>
      </c>
      <c r="CB101">
        <v>0</v>
      </c>
      <c r="CC101">
        <v>0</v>
      </c>
      <c r="CM101" t="str">
        <f>"17:41:53.085"</f>
        <v>17:41:53.085</v>
      </c>
      <c r="CN101">
        <v>85149588</v>
      </c>
      <c r="CQ101">
        <v>0</v>
      </c>
      <c r="CR101">
        <v>4000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2</v>
      </c>
      <c r="DC101">
        <v>0</v>
      </c>
      <c r="DD101">
        <v>2</v>
      </c>
      <c r="DE101">
        <v>0</v>
      </c>
      <c r="DF101">
        <v>7</v>
      </c>
      <c r="DG101">
        <v>7</v>
      </c>
      <c r="DH101" t="s">
        <v>124</v>
      </c>
      <c r="DI101">
        <v>71</v>
      </c>
      <c r="DJ101">
        <v>1</v>
      </c>
      <c r="DK101" t="s">
        <v>134</v>
      </c>
      <c r="DL101" t="s">
        <v>135</v>
      </c>
      <c r="DO101">
        <v>11296362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</row>
    <row r="102" spans="1:131" x14ac:dyDescent="0.35">
      <c r="A102" s="2" t="str">
        <f>"17:41:54.436"</f>
        <v>17:41:54.436</v>
      </c>
      <c r="B102" s="4">
        <f t="shared" si="19"/>
        <v>63714.436000000002</v>
      </c>
      <c r="C102" s="4">
        <f t="shared" si="13"/>
        <v>114.43600000000151</v>
      </c>
      <c r="D102" s="3">
        <f t="shared" si="14"/>
        <v>0.73743560185185186</v>
      </c>
      <c r="E102" s="2">
        <f t="shared" si="15"/>
        <v>0.73743560185185186</v>
      </c>
      <c r="G102" t="str">
        <f t="shared" si="10"/>
        <v>FFDFD7C0</v>
      </c>
      <c r="H102" t="s">
        <v>126</v>
      </c>
      <c r="I102">
        <v>8</v>
      </c>
      <c r="J102">
        <v>1008</v>
      </c>
      <c r="K102" t="s">
        <v>129</v>
      </c>
      <c r="N102" t="s">
        <v>127</v>
      </c>
      <c r="O102">
        <v>0</v>
      </c>
      <c r="P102">
        <v>3</v>
      </c>
      <c r="Q102">
        <v>0</v>
      </c>
      <c r="R102">
        <v>2</v>
      </c>
      <c r="S102">
        <v>1</v>
      </c>
      <c r="T102">
        <v>0</v>
      </c>
      <c r="U102">
        <v>0</v>
      </c>
      <c r="W102" t="str">
        <f>"17:41:54.180"</f>
        <v>17:41:54.180</v>
      </c>
      <c r="X102" t="str">
        <f>"17:41:53.780"</f>
        <v>17:41:53.780</v>
      </c>
      <c r="Y102" t="str">
        <f t="shared" si="11"/>
        <v>A7C771</v>
      </c>
      <c r="Z102">
        <v>0</v>
      </c>
      <c r="AA102">
        <v>0</v>
      </c>
      <c r="AB102">
        <v>2</v>
      </c>
      <c r="AC102">
        <v>0</v>
      </c>
      <c r="AE102">
        <v>0</v>
      </c>
      <c r="AF102">
        <v>8</v>
      </c>
      <c r="AG102">
        <v>3</v>
      </c>
      <c r="AH102">
        <v>0</v>
      </c>
      <c r="AI102">
        <v>9</v>
      </c>
      <c r="AJ102" t="s">
        <v>125</v>
      </c>
      <c r="AK102">
        <v>0</v>
      </c>
      <c r="AL102">
        <v>3</v>
      </c>
      <c r="AM102">
        <v>2</v>
      </c>
      <c r="AN102">
        <v>1</v>
      </c>
      <c r="AO102" t="s">
        <v>338</v>
      </c>
      <c r="AP102">
        <v>42.798057</v>
      </c>
      <c r="AQ102" t="s">
        <v>339</v>
      </c>
      <c r="AR102">
        <v>-77.675034999999994</v>
      </c>
      <c r="AS102">
        <v>25</v>
      </c>
      <c r="AT102">
        <v>3575</v>
      </c>
      <c r="AU102" t="s">
        <v>123</v>
      </c>
      <c r="AV102">
        <v>80</v>
      </c>
      <c r="AW102">
        <v>140</v>
      </c>
      <c r="AX102">
        <v>64</v>
      </c>
      <c r="AZ102">
        <f t="shared" si="16"/>
        <v>6400</v>
      </c>
      <c r="BA102">
        <f t="shared" si="17"/>
        <v>19600</v>
      </c>
      <c r="BB102" s="1">
        <f t="shared" si="18"/>
        <v>161.24515496597098</v>
      </c>
      <c r="BJ102">
        <v>1404</v>
      </c>
      <c r="BK102">
        <v>1</v>
      </c>
      <c r="BL102" t="str">
        <f t="shared" si="12"/>
        <v xml:space="preserve">N600C   </v>
      </c>
      <c r="BM102">
        <v>2</v>
      </c>
      <c r="BO102">
        <v>0</v>
      </c>
      <c r="BP102">
        <v>0</v>
      </c>
      <c r="BQ102">
        <v>0</v>
      </c>
      <c r="BR102">
        <v>3675</v>
      </c>
      <c r="BS102">
        <v>100</v>
      </c>
      <c r="BT102" t="s">
        <v>128</v>
      </c>
      <c r="BU102">
        <v>0</v>
      </c>
      <c r="BV102">
        <v>0</v>
      </c>
      <c r="BW102">
        <v>0</v>
      </c>
      <c r="BX102">
        <v>1</v>
      </c>
      <c r="CA102">
        <v>0</v>
      </c>
      <c r="CB102">
        <v>0</v>
      </c>
      <c r="CC102">
        <v>0</v>
      </c>
      <c r="CM102" t="str">
        <f>"17:41:54.181"</f>
        <v>17:41:54.181</v>
      </c>
      <c r="CN102">
        <v>181346714</v>
      </c>
      <c r="CQ102">
        <v>0</v>
      </c>
      <c r="CR102">
        <v>4000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2</v>
      </c>
      <c r="DC102">
        <v>0</v>
      </c>
      <c r="DD102">
        <v>2</v>
      </c>
      <c r="DE102">
        <v>0</v>
      </c>
      <c r="DF102">
        <v>7</v>
      </c>
      <c r="DG102">
        <v>7</v>
      </c>
      <c r="DH102" t="s">
        <v>124</v>
      </c>
      <c r="DI102">
        <v>71</v>
      </c>
      <c r="DJ102">
        <v>1</v>
      </c>
      <c r="DK102" t="s">
        <v>134</v>
      </c>
      <c r="DL102" t="s">
        <v>135</v>
      </c>
      <c r="DO102">
        <v>11297308</v>
      </c>
      <c r="DQ102">
        <v>0</v>
      </c>
      <c r="DR102">
        <v>0</v>
      </c>
      <c r="DS102">
        <v>1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</row>
    <row r="103" spans="1:131" x14ac:dyDescent="0.35">
      <c r="A103" s="2" t="str">
        <f>"17:41:55.427"</f>
        <v>17:41:55.427</v>
      </c>
      <c r="B103" s="4">
        <f t="shared" si="19"/>
        <v>63715.427000000003</v>
      </c>
      <c r="C103" s="4">
        <f t="shared" si="13"/>
        <v>115.42700000000332</v>
      </c>
      <c r="D103" s="3">
        <f t="shared" si="14"/>
        <v>0.73744707175925928</v>
      </c>
      <c r="E103" s="2">
        <f t="shared" si="15"/>
        <v>0.73744707175925928</v>
      </c>
      <c r="G103" t="str">
        <f t="shared" si="10"/>
        <v>FFDFD7C0</v>
      </c>
      <c r="H103" t="s">
        <v>126</v>
      </c>
      <c r="I103">
        <v>8</v>
      </c>
      <c r="J103">
        <v>1008</v>
      </c>
      <c r="K103" t="s">
        <v>129</v>
      </c>
      <c r="N103" t="s">
        <v>127</v>
      </c>
      <c r="O103">
        <v>0</v>
      </c>
      <c r="P103">
        <v>3</v>
      </c>
      <c r="Q103">
        <v>0</v>
      </c>
      <c r="R103">
        <v>2</v>
      </c>
      <c r="S103">
        <v>1</v>
      </c>
      <c r="T103">
        <v>0</v>
      </c>
      <c r="U103">
        <v>0</v>
      </c>
      <c r="W103" t="str">
        <f>"17:41:55.148"</f>
        <v>17:41:55.148</v>
      </c>
      <c r="X103" t="str">
        <f>"17:41:54.948"</f>
        <v>17:41:54.948</v>
      </c>
      <c r="Y103" t="str">
        <f t="shared" si="11"/>
        <v>A7C771</v>
      </c>
      <c r="Z103">
        <v>0</v>
      </c>
      <c r="AA103">
        <v>0</v>
      </c>
      <c r="AB103">
        <v>2</v>
      </c>
      <c r="AC103">
        <v>0</v>
      </c>
      <c r="AE103">
        <v>0</v>
      </c>
      <c r="AF103">
        <v>8</v>
      </c>
      <c r="AG103">
        <v>3</v>
      </c>
      <c r="AH103">
        <v>0</v>
      </c>
      <c r="AI103">
        <v>9</v>
      </c>
      <c r="AJ103" t="s">
        <v>125</v>
      </c>
      <c r="AK103">
        <v>0</v>
      </c>
      <c r="AL103">
        <v>3</v>
      </c>
      <c r="AM103">
        <v>2</v>
      </c>
      <c r="AN103">
        <v>1</v>
      </c>
      <c r="AO103" t="s">
        <v>340</v>
      </c>
      <c r="AP103">
        <v>42.798699999999997</v>
      </c>
      <c r="AQ103" t="s">
        <v>341</v>
      </c>
      <c r="AR103">
        <v>-77.674520000000001</v>
      </c>
      <c r="AS103">
        <v>25</v>
      </c>
      <c r="AT103">
        <v>3575</v>
      </c>
      <c r="AU103" t="s">
        <v>123</v>
      </c>
      <c r="AV103">
        <v>80</v>
      </c>
      <c r="AW103">
        <v>141</v>
      </c>
      <c r="AX103">
        <v>0</v>
      </c>
      <c r="AZ103">
        <f t="shared" si="16"/>
        <v>6400</v>
      </c>
      <c r="BA103">
        <f t="shared" si="17"/>
        <v>19881</v>
      </c>
      <c r="BB103" s="1">
        <f t="shared" si="18"/>
        <v>162.11415730897781</v>
      </c>
      <c r="BJ103">
        <v>1404</v>
      </c>
      <c r="BK103">
        <v>1</v>
      </c>
      <c r="BL103" t="str">
        <f t="shared" si="12"/>
        <v xml:space="preserve">N600C   </v>
      </c>
      <c r="BM103">
        <v>2</v>
      </c>
      <c r="BO103">
        <v>0</v>
      </c>
      <c r="BP103">
        <v>0</v>
      </c>
      <c r="BQ103">
        <v>0</v>
      </c>
      <c r="BR103">
        <v>3675</v>
      </c>
      <c r="BS103">
        <v>100</v>
      </c>
      <c r="BT103" t="s">
        <v>128</v>
      </c>
      <c r="BU103">
        <v>0</v>
      </c>
      <c r="BV103">
        <v>0</v>
      </c>
      <c r="BW103">
        <v>0</v>
      </c>
      <c r="BX103">
        <v>1</v>
      </c>
      <c r="CA103">
        <v>0</v>
      </c>
      <c r="CB103">
        <v>0</v>
      </c>
      <c r="CC103">
        <v>0</v>
      </c>
      <c r="CM103" t="str">
        <f>"17:41:55.150"</f>
        <v>17:41:55.150</v>
      </c>
      <c r="CN103">
        <v>149519999</v>
      </c>
      <c r="CQ103">
        <v>0</v>
      </c>
      <c r="CR103">
        <v>4000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2</v>
      </c>
      <c r="DC103">
        <v>0</v>
      </c>
      <c r="DD103">
        <v>2</v>
      </c>
      <c r="DE103">
        <v>0</v>
      </c>
      <c r="DF103">
        <v>7</v>
      </c>
      <c r="DG103">
        <v>7</v>
      </c>
      <c r="DH103" t="s">
        <v>124</v>
      </c>
      <c r="DI103">
        <v>71</v>
      </c>
      <c r="DJ103">
        <v>1</v>
      </c>
      <c r="DK103" t="s">
        <v>134</v>
      </c>
      <c r="DL103" t="s">
        <v>135</v>
      </c>
      <c r="DO103">
        <v>11298115</v>
      </c>
      <c r="DQ103">
        <v>0</v>
      </c>
      <c r="DR103">
        <v>0</v>
      </c>
      <c r="DS103">
        <v>1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</row>
    <row r="104" spans="1:131" x14ac:dyDescent="0.35">
      <c r="A104" s="2" t="str">
        <f>"17:41:56.412"</f>
        <v>17:41:56.412</v>
      </c>
      <c r="B104" s="4">
        <f t="shared" si="19"/>
        <v>63716.411999999997</v>
      </c>
      <c r="C104" s="4">
        <f t="shared" si="13"/>
        <v>116.41199999999662</v>
      </c>
      <c r="D104" s="3">
        <f t="shared" si="14"/>
        <v>0.73745847222222216</v>
      </c>
      <c r="E104" s="2">
        <f t="shared" si="15"/>
        <v>0.73745847222222216</v>
      </c>
      <c r="G104" t="str">
        <f t="shared" si="10"/>
        <v>FFDFD7C0</v>
      </c>
      <c r="H104" t="s">
        <v>126</v>
      </c>
      <c r="I104">
        <v>8</v>
      </c>
      <c r="J104">
        <v>1008</v>
      </c>
      <c r="K104" t="s">
        <v>129</v>
      </c>
      <c r="N104" t="s">
        <v>127</v>
      </c>
      <c r="O104">
        <v>0</v>
      </c>
      <c r="P104">
        <v>3</v>
      </c>
      <c r="Q104">
        <v>0</v>
      </c>
      <c r="R104">
        <v>2</v>
      </c>
      <c r="S104">
        <v>1</v>
      </c>
      <c r="T104">
        <v>0</v>
      </c>
      <c r="U104">
        <v>0</v>
      </c>
      <c r="W104" t="str">
        <f>"17:41:56.164"</f>
        <v>17:41:56.164</v>
      </c>
      <c r="X104" t="str">
        <f>"17:41:55.764"</f>
        <v>17:41:55.764</v>
      </c>
      <c r="Y104" t="str">
        <f t="shared" si="11"/>
        <v>A7C771</v>
      </c>
      <c r="Z104">
        <v>0</v>
      </c>
      <c r="AA104">
        <v>0</v>
      </c>
      <c r="AB104">
        <v>2</v>
      </c>
      <c r="AC104">
        <v>0</v>
      </c>
      <c r="AE104">
        <v>0</v>
      </c>
      <c r="AF104">
        <v>8</v>
      </c>
      <c r="AG104">
        <v>3</v>
      </c>
      <c r="AH104">
        <v>0</v>
      </c>
      <c r="AI104">
        <v>9</v>
      </c>
      <c r="AJ104" t="s">
        <v>125</v>
      </c>
      <c r="AK104">
        <v>0</v>
      </c>
      <c r="AL104">
        <v>3</v>
      </c>
      <c r="AM104">
        <v>2</v>
      </c>
      <c r="AN104">
        <v>1</v>
      </c>
      <c r="AO104" t="s">
        <v>342</v>
      </c>
      <c r="AP104">
        <v>42.799343999999998</v>
      </c>
      <c r="AQ104" t="s">
        <v>343</v>
      </c>
      <c r="AR104">
        <v>-77.673962000000003</v>
      </c>
      <c r="AS104">
        <v>25</v>
      </c>
      <c r="AT104">
        <v>3575</v>
      </c>
      <c r="AU104" t="s">
        <v>123</v>
      </c>
      <c r="AV104">
        <v>81</v>
      </c>
      <c r="AW104">
        <v>141</v>
      </c>
      <c r="AX104">
        <v>64</v>
      </c>
      <c r="AZ104">
        <f t="shared" si="16"/>
        <v>6561</v>
      </c>
      <c r="BA104">
        <f t="shared" si="17"/>
        <v>19881</v>
      </c>
      <c r="BB104" s="1">
        <f t="shared" si="18"/>
        <v>162.60996279441184</v>
      </c>
      <c r="BJ104">
        <v>1404</v>
      </c>
      <c r="BK104">
        <v>1</v>
      </c>
      <c r="BL104" t="str">
        <f t="shared" si="12"/>
        <v xml:space="preserve">N600C   </v>
      </c>
      <c r="BM104">
        <v>2</v>
      </c>
      <c r="BO104">
        <v>0</v>
      </c>
      <c r="BP104">
        <v>0</v>
      </c>
      <c r="BQ104">
        <v>0</v>
      </c>
      <c r="BR104">
        <v>3675</v>
      </c>
      <c r="BS104">
        <v>100</v>
      </c>
      <c r="BT104" t="s">
        <v>128</v>
      </c>
      <c r="BU104">
        <v>0</v>
      </c>
      <c r="BV104">
        <v>0</v>
      </c>
      <c r="BW104">
        <v>0</v>
      </c>
      <c r="BX104">
        <v>1</v>
      </c>
      <c r="CA104">
        <v>0</v>
      </c>
      <c r="CB104">
        <v>0</v>
      </c>
      <c r="CC104">
        <v>0</v>
      </c>
      <c r="CM104" t="str">
        <f>"17:41:56.166"</f>
        <v>17:41:56.166</v>
      </c>
      <c r="CN104">
        <v>165697914</v>
      </c>
      <c r="CQ104">
        <v>0</v>
      </c>
      <c r="CR104">
        <v>4000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2</v>
      </c>
      <c r="DC104">
        <v>0</v>
      </c>
      <c r="DD104">
        <v>2</v>
      </c>
      <c r="DE104">
        <v>0</v>
      </c>
      <c r="DF104">
        <v>7</v>
      </c>
      <c r="DG104">
        <v>7</v>
      </c>
      <c r="DH104" t="s">
        <v>124</v>
      </c>
      <c r="DI104">
        <v>71</v>
      </c>
      <c r="DJ104">
        <v>1</v>
      </c>
      <c r="DK104" t="s">
        <v>134</v>
      </c>
      <c r="DL104" t="s">
        <v>135</v>
      </c>
      <c r="DO104">
        <v>11299059</v>
      </c>
      <c r="DQ104">
        <v>0</v>
      </c>
      <c r="DR104">
        <v>0</v>
      </c>
      <c r="DS104">
        <v>1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</row>
    <row r="105" spans="1:131" x14ac:dyDescent="0.35">
      <c r="A105" s="2" t="str">
        <f>"17:41:57.443"</f>
        <v>17:41:57.443</v>
      </c>
      <c r="B105" s="4">
        <f t="shared" si="19"/>
        <v>63717.442999999992</v>
      </c>
      <c r="C105" s="4">
        <f t="shared" si="13"/>
        <v>117.44299999999203</v>
      </c>
      <c r="D105" s="3">
        <f t="shared" si="14"/>
        <v>0.73747040509259254</v>
      </c>
      <c r="E105" s="2">
        <f t="shared" si="15"/>
        <v>0.73747040509259254</v>
      </c>
      <c r="G105" t="str">
        <f t="shared" si="10"/>
        <v>FFDFD7C0</v>
      </c>
      <c r="H105" t="s">
        <v>126</v>
      </c>
      <c r="I105">
        <v>8</v>
      </c>
      <c r="J105">
        <v>1008</v>
      </c>
      <c r="K105" t="s">
        <v>129</v>
      </c>
      <c r="N105" t="s">
        <v>127</v>
      </c>
      <c r="O105">
        <v>0</v>
      </c>
      <c r="P105">
        <v>3</v>
      </c>
      <c r="Q105">
        <v>0</v>
      </c>
      <c r="R105">
        <v>2</v>
      </c>
      <c r="S105">
        <v>1</v>
      </c>
      <c r="T105">
        <v>0</v>
      </c>
      <c r="U105">
        <v>0</v>
      </c>
      <c r="W105" t="str">
        <f>"17:41:57.211"</f>
        <v>17:41:57.211</v>
      </c>
      <c r="X105" t="str">
        <f>"17:41:57.011"</f>
        <v>17:41:57.011</v>
      </c>
      <c r="Y105" t="str">
        <f t="shared" si="11"/>
        <v>A7C771</v>
      </c>
      <c r="Z105">
        <v>0</v>
      </c>
      <c r="AA105">
        <v>0</v>
      </c>
      <c r="AB105">
        <v>2</v>
      </c>
      <c r="AC105">
        <v>0</v>
      </c>
      <c r="AE105">
        <v>0</v>
      </c>
      <c r="AF105">
        <v>8</v>
      </c>
      <c r="AG105">
        <v>3</v>
      </c>
      <c r="AH105">
        <v>0</v>
      </c>
      <c r="AI105">
        <v>9</v>
      </c>
      <c r="AJ105" t="s">
        <v>125</v>
      </c>
      <c r="AK105">
        <v>0</v>
      </c>
      <c r="AL105">
        <v>3</v>
      </c>
      <c r="AM105">
        <v>2</v>
      </c>
      <c r="AN105">
        <v>1</v>
      </c>
      <c r="AO105" t="s">
        <v>344</v>
      </c>
      <c r="AP105">
        <v>42.800030999999997</v>
      </c>
      <c r="AQ105" t="s">
        <v>345</v>
      </c>
      <c r="AR105">
        <v>-77.673468999999997</v>
      </c>
      <c r="AS105">
        <v>25</v>
      </c>
      <c r="AT105">
        <v>3575</v>
      </c>
      <c r="AU105" t="s">
        <v>123</v>
      </c>
      <c r="AV105">
        <v>81</v>
      </c>
      <c r="AW105">
        <v>141</v>
      </c>
      <c r="AX105">
        <v>64</v>
      </c>
      <c r="AZ105">
        <f t="shared" si="16"/>
        <v>6561</v>
      </c>
      <c r="BA105">
        <f t="shared" si="17"/>
        <v>19881</v>
      </c>
      <c r="BB105" s="1">
        <f t="shared" si="18"/>
        <v>162.60996279441184</v>
      </c>
      <c r="BJ105">
        <v>1404</v>
      </c>
      <c r="BK105">
        <v>1</v>
      </c>
      <c r="BL105" t="str">
        <f t="shared" si="12"/>
        <v xml:space="preserve">N600C   </v>
      </c>
      <c r="BM105">
        <v>2</v>
      </c>
      <c r="BO105">
        <v>0</v>
      </c>
      <c r="BP105">
        <v>0</v>
      </c>
      <c r="BQ105">
        <v>0</v>
      </c>
      <c r="BR105">
        <v>3675</v>
      </c>
      <c r="BS105">
        <v>100</v>
      </c>
      <c r="BT105" t="s">
        <v>128</v>
      </c>
      <c r="BU105">
        <v>0</v>
      </c>
      <c r="BV105">
        <v>0</v>
      </c>
      <c r="BW105">
        <v>0</v>
      </c>
      <c r="BX105">
        <v>1</v>
      </c>
      <c r="CA105">
        <v>0</v>
      </c>
      <c r="CB105">
        <v>0</v>
      </c>
      <c r="CC105">
        <v>0</v>
      </c>
      <c r="CM105" t="str">
        <f>"17:41:57.214"</f>
        <v>17:41:57.214</v>
      </c>
      <c r="CN105">
        <v>213883258</v>
      </c>
      <c r="CQ105">
        <v>0</v>
      </c>
      <c r="CR105">
        <v>4000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2</v>
      </c>
      <c r="DC105">
        <v>0</v>
      </c>
      <c r="DD105">
        <v>2</v>
      </c>
      <c r="DE105">
        <v>0</v>
      </c>
      <c r="DF105">
        <v>7</v>
      </c>
      <c r="DG105">
        <v>7</v>
      </c>
      <c r="DH105" t="s">
        <v>124</v>
      </c>
      <c r="DI105">
        <v>71</v>
      </c>
      <c r="DJ105">
        <v>1</v>
      </c>
      <c r="DK105" t="s">
        <v>134</v>
      </c>
      <c r="DL105" t="s">
        <v>135</v>
      </c>
      <c r="DO105">
        <v>11299941</v>
      </c>
      <c r="DQ105">
        <v>0</v>
      </c>
      <c r="DR105">
        <v>0</v>
      </c>
      <c r="DS105">
        <v>1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</row>
    <row r="106" spans="1:131" x14ac:dyDescent="0.35">
      <c r="A106" s="2" t="str">
        <f>"17:41:58.491"</f>
        <v>17:41:58.491</v>
      </c>
      <c r="B106" s="4">
        <f t="shared" si="19"/>
        <v>63718.491000000002</v>
      </c>
      <c r="C106" s="4">
        <f t="shared" si="13"/>
        <v>118.4910000000018</v>
      </c>
      <c r="D106" s="3">
        <f t="shared" si="14"/>
        <v>0.73748253472222225</v>
      </c>
      <c r="E106" s="2">
        <f t="shared" si="15"/>
        <v>0.73748253472222225</v>
      </c>
      <c r="G106" t="str">
        <f t="shared" si="10"/>
        <v>FFDFD7C0</v>
      </c>
      <c r="H106" t="s">
        <v>126</v>
      </c>
      <c r="I106">
        <v>8</v>
      </c>
      <c r="J106">
        <v>1008</v>
      </c>
      <c r="K106" t="s">
        <v>129</v>
      </c>
      <c r="N106" t="s">
        <v>127</v>
      </c>
      <c r="O106">
        <v>0</v>
      </c>
      <c r="P106">
        <v>3</v>
      </c>
      <c r="Q106">
        <v>0</v>
      </c>
      <c r="R106">
        <v>2</v>
      </c>
      <c r="S106">
        <v>1</v>
      </c>
      <c r="T106">
        <v>0</v>
      </c>
      <c r="U106">
        <v>0</v>
      </c>
      <c r="W106" t="str">
        <f>"17:41:58.164"</f>
        <v>17:41:58.164</v>
      </c>
      <c r="X106" t="str">
        <f>"17:41:58.064"</f>
        <v>17:41:58.064</v>
      </c>
      <c r="Y106" t="str">
        <f t="shared" si="11"/>
        <v>A7C771</v>
      </c>
      <c r="Z106">
        <v>0</v>
      </c>
      <c r="AA106">
        <v>0</v>
      </c>
      <c r="AB106">
        <v>2</v>
      </c>
      <c r="AC106">
        <v>0</v>
      </c>
      <c r="AE106">
        <v>0</v>
      </c>
      <c r="AF106">
        <v>8</v>
      </c>
      <c r="AG106">
        <v>3</v>
      </c>
      <c r="AH106">
        <v>0</v>
      </c>
      <c r="AI106">
        <v>9</v>
      </c>
      <c r="AJ106" t="s">
        <v>125</v>
      </c>
      <c r="AK106">
        <v>0</v>
      </c>
      <c r="AL106">
        <v>3</v>
      </c>
      <c r="AM106">
        <v>2</v>
      </c>
      <c r="AN106">
        <v>1</v>
      </c>
      <c r="AO106" t="s">
        <v>346</v>
      </c>
      <c r="AP106">
        <v>42.800674000000001</v>
      </c>
      <c r="AQ106" t="s">
        <v>347</v>
      </c>
      <c r="AR106">
        <v>-77.672974999999994</v>
      </c>
      <c r="AS106">
        <v>25</v>
      </c>
      <c r="AT106">
        <v>3575</v>
      </c>
      <c r="AU106" t="s">
        <v>123</v>
      </c>
      <c r="AV106">
        <v>81</v>
      </c>
      <c r="AW106">
        <v>141</v>
      </c>
      <c r="AX106">
        <v>64</v>
      </c>
      <c r="AZ106">
        <f t="shared" si="16"/>
        <v>6561</v>
      </c>
      <c r="BA106">
        <f t="shared" si="17"/>
        <v>19881</v>
      </c>
      <c r="BB106" s="1">
        <f t="shared" si="18"/>
        <v>162.60996279441184</v>
      </c>
      <c r="BJ106">
        <v>1404</v>
      </c>
      <c r="BK106">
        <v>1</v>
      </c>
      <c r="BL106" t="str">
        <f t="shared" si="12"/>
        <v xml:space="preserve">N600C   </v>
      </c>
      <c r="BM106">
        <v>2</v>
      </c>
      <c r="BO106">
        <v>0</v>
      </c>
      <c r="BP106">
        <v>0</v>
      </c>
      <c r="BQ106">
        <v>0</v>
      </c>
      <c r="BR106">
        <v>3675</v>
      </c>
      <c r="BS106">
        <v>100</v>
      </c>
      <c r="BT106" t="s">
        <v>128</v>
      </c>
      <c r="BU106">
        <v>0</v>
      </c>
      <c r="BV106">
        <v>0</v>
      </c>
      <c r="BW106">
        <v>0</v>
      </c>
      <c r="BX106">
        <v>1</v>
      </c>
      <c r="CA106">
        <v>0</v>
      </c>
      <c r="CB106">
        <v>0</v>
      </c>
      <c r="CC106">
        <v>0</v>
      </c>
      <c r="CM106" t="str">
        <f>"17:41:58.166"</f>
        <v>17:41:58.166</v>
      </c>
      <c r="CN106">
        <v>166060254</v>
      </c>
      <c r="CQ106">
        <v>0</v>
      </c>
      <c r="CR106">
        <v>4000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2</v>
      </c>
      <c r="DC106">
        <v>0</v>
      </c>
      <c r="DD106">
        <v>2</v>
      </c>
      <c r="DE106">
        <v>0</v>
      </c>
      <c r="DF106">
        <v>7</v>
      </c>
      <c r="DG106">
        <v>7</v>
      </c>
      <c r="DH106" t="s">
        <v>124</v>
      </c>
      <c r="DI106">
        <v>71</v>
      </c>
      <c r="DJ106">
        <v>1</v>
      </c>
      <c r="DK106" t="s">
        <v>134</v>
      </c>
      <c r="DL106" t="s">
        <v>135</v>
      </c>
      <c r="DO106">
        <v>11300764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</row>
    <row r="107" spans="1:131" x14ac:dyDescent="0.35">
      <c r="A107" s="2" t="str">
        <f>"17:41:59.411"</f>
        <v>17:41:59.411</v>
      </c>
      <c r="B107" s="4">
        <f t="shared" si="19"/>
        <v>63719.411</v>
      </c>
      <c r="C107" s="4">
        <f t="shared" si="13"/>
        <v>119.41100000000006</v>
      </c>
      <c r="D107" s="3">
        <f t="shared" si="14"/>
        <v>0.73749318287037036</v>
      </c>
      <c r="E107" s="2">
        <f t="shared" si="15"/>
        <v>0.73749318287037036</v>
      </c>
      <c r="G107" t="str">
        <f t="shared" si="10"/>
        <v>FFDFD7C0</v>
      </c>
      <c r="H107" t="s">
        <v>126</v>
      </c>
      <c r="I107">
        <v>8</v>
      </c>
      <c r="J107">
        <v>1008</v>
      </c>
      <c r="K107" t="s">
        <v>129</v>
      </c>
      <c r="N107" t="s">
        <v>127</v>
      </c>
      <c r="O107">
        <v>0</v>
      </c>
      <c r="P107">
        <v>3</v>
      </c>
      <c r="Q107">
        <v>0</v>
      </c>
      <c r="R107">
        <v>2</v>
      </c>
      <c r="S107">
        <v>1</v>
      </c>
      <c r="T107">
        <v>0</v>
      </c>
      <c r="U107">
        <v>0</v>
      </c>
      <c r="W107" t="str">
        <f>"17:41:59.172"</f>
        <v>17:41:59.172</v>
      </c>
      <c r="X107" t="str">
        <f>"17:41:59.172"</f>
        <v>17:41:59.172</v>
      </c>
      <c r="Y107" t="str">
        <f t="shared" si="11"/>
        <v>A7C771</v>
      </c>
      <c r="Z107">
        <v>0</v>
      </c>
      <c r="AA107">
        <v>0</v>
      </c>
      <c r="AB107">
        <v>2</v>
      </c>
      <c r="AC107">
        <v>0</v>
      </c>
      <c r="AE107">
        <v>0</v>
      </c>
      <c r="AF107">
        <v>8</v>
      </c>
      <c r="AG107">
        <v>3</v>
      </c>
      <c r="AH107">
        <v>0</v>
      </c>
      <c r="AI107">
        <v>9</v>
      </c>
      <c r="AJ107" t="s">
        <v>125</v>
      </c>
      <c r="AK107">
        <v>0</v>
      </c>
      <c r="AL107">
        <v>3</v>
      </c>
      <c r="AM107">
        <v>2</v>
      </c>
      <c r="AN107">
        <v>1</v>
      </c>
      <c r="AO107" t="s">
        <v>348</v>
      </c>
      <c r="AP107">
        <v>42.801318000000002</v>
      </c>
      <c r="AQ107" t="s">
        <v>349</v>
      </c>
      <c r="AR107">
        <v>-77.672460000000001</v>
      </c>
      <c r="AS107">
        <v>25</v>
      </c>
      <c r="AT107">
        <v>3575</v>
      </c>
      <c r="AU107" t="s">
        <v>123</v>
      </c>
      <c r="AV107">
        <v>82</v>
      </c>
      <c r="AW107">
        <v>142</v>
      </c>
      <c r="AX107">
        <v>128</v>
      </c>
      <c r="AZ107">
        <f t="shared" si="16"/>
        <v>6724</v>
      </c>
      <c r="BA107">
        <f t="shared" si="17"/>
        <v>20164</v>
      </c>
      <c r="BB107" s="1">
        <f t="shared" si="18"/>
        <v>163.97560794215707</v>
      </c>
      <c r="BJ107">
        <v>1404</v>
      </c>
      <c r="BK107">
        <v>1</v>
      </c>
      <c r="BL107" t="str">
        <f t="shared" si="12"/>
        <v xml:space="preserve">N600C   </v>
      </c>
      <c r="BM107">
        <v>2</v>
      </c>
      <c r="BO107">
        <v>0</v>
      </c>
      <c r="BP107">
        <v>0</v>
      </c>
      <c r="BQ107">
        <v>0</v>
      </c>
      <c r="BR107">
        <v>3675</v>
      </c>
      <c r="BS107">
        <v>100</v>
      </c>
      <c r="BT107" t="s">
        <v>128</v>
      </c>
      <c r="BU107">
        <v>0</v>
      </c>
      <c r="BV107">
        <v>0</v>
      </c>
      <c r="BW107">
        <v>0</v>
      </c>
      <c r="BX107">
        <v>1</v>
      </c>
      <c r="CA107">
        <v>0</v>
      </c>
      <c r="CB107">
        <v>0</v>
      </c>
      <c r="CC107">
        <v>0</v>
      </c>
      <c r="CM107" t="str">
        <f>"17:41:59.174"</f>
        <v>17:41:59.174</v>
      </c>
      <c r="CN107">
        <v>174240152</v>
      </c>
      <c r="CQ107">
        <v>0</v>
      </c>
      <c r="CR107">
        <v>4000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2</v>
      </c>
      <c r="DC107">
        <v>0</v>
      </c>
      <c r="DD107">
        <v>2</v>
      </c>
      <c r="DE107">
        <v>0</v>
      </c>
      <c r="DF107">
        <v>7</v>
      </c>
      <c r="DG107">
        <v>7</v>
      </c>
      <c r="DH107" t="s">
        <v>124</v>
      </c>
      <c r="DI107">
        <v>71</v>
      </c>
      <c r="DJ107">
        <v>2</v>
      </c>
      <c r="DK107" t="s">
        <v>134</v>
      </c>
      <c r="DL107" t="s">
        <v>135</v>
      </c>
      <c r="DO107">
        <v>793590</v>
      </c>
      <c r="DQ107">
        <v>0</v>
      </c>
      <c r="DR107">
        <v>0</v>
      </c>
      <c r="DS107">
        <v>1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</row>
    <row r="108" spans="1:131" x14ac:dyDescent="0.35">
      <c r="A108" s="2" t="str">
        <f>"17:42:00.364"</f>
        <v>17:42:00.364</v>
      </c>
      <c r="B108" s="4">
        <f t="shared" si="19"/>
        <v>63720.364000000001</v>
      </c>
      <c r="C108" s="4">
        <f t="shared" si="13"/>
        <v>120.3640000000014</v>
      </c>
      <c r="D108" s="3">
        <f t="shared" si="14"/>
        <v>0.73750421296296298</v>
      </c>
      <c r="E108" s="2">
        <f t="shared" si="15"/>
        <v>0.73750421296296298</v>
      </c>
      <c r="G108" t="str">
        <f t="shared" si="10"/>
        <v>FFDFD7C0</v>
      </c>
      <c r="H108" t="s">
        <v>126</v>
      </c>
      <c r="I108">
        <v>8</v>
      </c>
      <c r="J108">
        <v>1008</v>
      </c>
      <c r="K108" t="s">
        <v>129</v>
      </c>
      <c r="N108" t="s">
        <v>127</v>
      </c>
      <c r="O108">
        <v>0</v>
      </c>
      <c r="P108">
        <v>3</v>
      </c>
      <c r="Q108">
        <v>0</v>
      </c>
      <c r="R108">
        <v>2</v>
      </c>
      <c r="S108">
        <v>1</v>
      </c>
      <c r="T108">
        <v>0</v>
      </c>
      <c r="U108">
        <v>0</v>
      </c>
      <c r="W108" t="str">
        <f>"17:42:00.094"</f>
        <v>17:42:00.094</v>
      </c>
      <c r="X108" t="str">
        <f>"17:41:59.994"</f>
        <v>17:41:59.994</v>
      </c>
      <c r="Y108" t="str">
        <f t="shared" si="11"/>
        <v>A7C771</v>
      </c>
      <c r="Z108">
        <v>0</v>
      </c>
      <c r="AA108">
        <v>0</v>
      </c>
      <c r="AB108">
        <v>2</v>
      </c>
      <c r="AC108">
        <v>0</v>
      </c>
      <c r="AE108">
        <v>0</v>
      </c>
      <c r="AF108">
        <v>8</v>
      </c>
      <c r="AG108">
        <v>3</v>
      </c>
      <c r="AH108">
        <v>0</v>
      </c>
      <c r="AI108">
        <v>9</v>
      </c>
      <c r="AJ108" t="s">
        <v>125</v>
      </c>
      <c r="AK108">
        <v>0</v>
      </c>
      <c r="AL108">
        <v>3</v>
      </c>
      <c r="AM108">
        <v>2</v>
      </c>
      <c r="AN108">
        <v>1</v>
      </c>
      <c r="AO108" t="s">
        <v>350</v>
      </c>
      <c r="AP108">
        <v>42.801940000000002</v>
      </c>
      <c r="AQ108" t="s">
        <v>351</v>
      </c>
      <c r="AR108">
        <v>-77.671987999999999</v>
      </c>
      <c r="AS108">
        <v>25</v>
      </c>
      <c r="AT108">
        <v>3575</v>
      </c>
      <c r="AU108" t="s">
        <v>123</v>
      </c>
      <c r="AV108">
        <v>82</v>
      </c>
      <c r="AW108">
        <v>142</v>
      </c>
      <c r="AX108">
        <v>64</v>
      </c>
      <c r="AZ108">
        <f t="shared" si="16"/>
        <v>6724</v>
      </c>
      <c r="BA108">
        <f t="shared" si="17"/>
        <v>20164</v>
      </c>
      <c r="BB108" s="1">
        <f t="shared" si="18"/>
        <v>163.97560794215707</v>
      </c>
      <c r="BJ108">
        <v>1404</v>
      </c>
      <c r="BK108">
        <v>1</v>
      </c>
      <c r="BL108" t="str">
        <f t="shared" si="12"/>
        <v xml:space="preserve">N600C   </v>
      </c>
      <c r="BM108">
        <v>2</v>
      </c>
      <c r="BO108">
        <v>0</v>
      </c>
      <c r="BP108">
        <v>0</v>
      </c>
      <c r="BQ108">
        <v>0</v>
      </c>
      <c r="BR108">
        <v>3675</v>
      </c>
      <c r="BS108">
        <v>100</v>
      </c>
      <c r="BT108" t="s">
        <v>128</v>
      </c>
      <c r="BU108">
        <v>0</v>
      </c>
      <c r="BV108">
        <v>0</v>
      </c>
      <c r="BW108">
        <v>0</v>
      </c>
      <c r="BX108">
        <v>1</v>
      </c>
      <c r="CA108">
        <v>0</v>
      </c>
      <c r="CB108">
        <v>0</v>
      </c>
      <c r="CC108">
        <v>0</v>
      </c>
      <c r="CM108" t="str">
        <f>"17:42:00.094"</f>
        <v>17:42:00.094</v>
      </c>
      <c r="CN108">
        <v>94409604</v>
      </c>
      <c r="CQ108">
        <v>0</v>
      </c>
      <c r="CR108">
        <v>4000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2</v>
      </c>
      <c r="DC108">
        <v>0</v>
      </c>
      <c r="DD108">
        <v>2</v>
      </c>
      <c r="DE108">
        <v>0</v>
      </c>
      <c r="DF108">
        <v>7</v>
      </c>
      <c r="DG108">
        <v>7</v>
      </c>
      <c r="DH108" t="s">
        <v>124</v>
      </c>
      <c r="DI108">
        <v>71</v>
      </c>
      <c r="DJ108">
        <v>1</v>
      </c>
      <c r="DK108" t="s">
        <v>134</v>
      </c>
      <c r="DL108" t="s">
        <v>135</v>
      </c>
      <c r="DO108">
        <v>11302467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</row>
    <row r="109" spans="1:131" x14ac:dyDescent="0.35">
      <c r="A109" s="2" t="str">
        <f>"17:42:01.284"</f>
        <v>17:42:01.284</v>
      </c>
      <c r="B109" s="4">
        <f t="shared" si="19"/>
        <v>63721.284</v>
      </c>
      <c r="C109" s="4">
        <f t="shared" si="13"/>
        <v>121.28399999999965</v>
      </c>
      <c r="D109" s="3">
        <f t="shared" si="14"/>
        <v>0.73751486111111109</v>
      </c>
      <c r="E109" s="2">
        <f t="shared" si="15"/>
        <v>0.73751486111111109</v>
      </c>
      <c r="G109" t="str">
        <f t="shared" si="10"/>
        <v>FFDFD7C0</v>
      </c>
      <c r="H109" t="s">
        <v>126</v>
      </c>
      <c r="I109">
        <v>8</v>
      </c>
      <c r="J109">
        <v>1008</v>
      </c>
      <c r="K109" t="s">
        <v>129</v>
      </c>
      <c r="N109" t="s">
        <v>127</v>
      </c>
      <c r="O109">
        <v>0</v>
      </c>
      <c r="P109">
        <v>3</v>
      </c>
      <c r="Q109">
        <v>0</v>
      </c>
      <c r="R109">
        <v>2</v>
      </c>
      <c r="S109">
        <v>1</v>
      </c>
      <c r="T109">
        <v>0</v>
      </c>
      <c r="U109">
        <v>0</v>
      </c>
      <c r="W109" t="str">
        <f>"17:42:01.094"</f>
        <v>17:42:01.094</v>
      </c>
      <c r="X109" t="str">
        <f>"17:42:00.994"</f>
        <v>17:42:00.994</v>
      </c>
      <c r="Y109" t="str">
        <f t="shared" si="11"/>
        <v>A7C771</v>
      </c>
      <c r="Z109">
        <v>0</v>
      </c>
      <c r="AA109">
        <v>0</v>
      </c>
      <c r="AB109">
        <v>2</v>
      </c>
      <c r="AC109">
        <v>0</v>
      </c>
      <c r="AE109">
        <v>0</v>
      </c>
      <c r="AF109">
        <v>8</v>
      </c>
      <c r="AG109">
        <v>3</v>
      </c>
      <c r="AH109">
        <v>0</v>
      </c>
      <c r="AI109">
        <v>9</v>
      </c>
      <c r="AJ109" t="s">
        <v>125</v>
      </c>
      <c r="AK109">
        <v>0</v>
      </c>
      <c r="AL109">
        <v>3</v>
      </c>
      <c r="AM109">
        <v>2</v>
      </c>
      <c r="AN109">
        <v>1</v>
      </c>
      <c r="AO109" t="s">
        <v>352</v>
      </c>
      <c r="AP109">
        <v>42.802584000000003</v>
      </c>
      <c r="AQ109" t="s">
        <v>353</v>
      </c>
      <c r="AR109">
        <v>-77.671430000000001</v>
      </c>
      <c r="AS109">
        <v>25</v>
      </c>
      <c r="AT109">
        <v>3575</v>
      </c>
      <c r="AU109" t="s">
        <v>123</v>
      </c>
      <c r="AV109">
        <v>83</v>
      </c>
      <c r="AW109">
        <v>142</v>
      </c>
      <c r="AX109">
        <v>128</v>
      </c>
      <c r="AZ109">
        <f t="shared" si="16"/>
        <v>6889</v>
      </c>
      <c r="BA109">
        <f t="shared" si="17"/>
        <v>20164</v>
      </c>
      <c r="BB109" s="1">
        <f t="shared" si="18"/>
        <v>164.47796204963143</v>
      </c>
      <c r="BJ109">
        <v>1404</v>
      </c>
      <c r="BK109">
        <v>1</v>
      </c>
      <c r="BL109" t="str">
        <f t="shared" si="12"/>
        <v xml:space="preserve">N600C   </v>
      </c>
      <c r="BM109">
        <v>2</v>
      </c>
      <c r="BO109">
        <v>0</v>
      </c>
      <c r="BP109">
        <v>0</v>
      </c>
      <c r="BQ109">
        <v>0</v>
      </c>
      <c r="BR109">
        <v>3675</v>
      </c>
      <c r="BS109">
        <v>100</v>
      </c>
      <c r="BT109" t="s">
        <v>128</v>
      </c>
      <c r="BU109">
        <v>0</v>
      </c>
      <c r="BV109">
        <v>0</v>
      </c>
      <c r="BW109">
        <v>0</v>
      </c>
      <c r="BX109">
        <v>1</v>
      </c>
      <c r="CA109">
        <v>0.04</v>
      </c>
      <c r="CB109">
        <v>0</v>
      </c>
      <c r="CC109">
        <v>0</v>
      </c>
      <c r="CM109" t="str">
        <f>"17:42:01.095"</f>
        <v>17:42:01.095</v>
      </c>
      <c r="CN109">
        <v>94614035</v>
      </c>
      <c r="CQ109">
        <v>0</v>
      </c>
      <c r="CR109">
        <v>4000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2</v>
      </c>
      <c r="DC109">
        <v>0</v>
      </c>
      <c r="DD109">
        <v>2</v>
      </c>
      <c r="DE109">
        <v>0</v>
      </c>
      <c r="DF109">
        <v>7</v>
      </c>
      <c r="DG109">
        <v>7</v>
      </c>
      <c r="DH109" t="s">
        <v>124</v>
      </c>
      <c r="DI109">
        <v>71</v>
      </c>
      <c r="DJ109">
        <v>2</v>
      </c>
      <c r="DK109" t="s">
        <v>134</v>
      </c>
      <c r="DL109" t="s">
        <v>135</v>
      </c>
      <c r="DO109">
        <v>795300</v>
      </c>
      <c r="DQ109">
        <v>0</v>
      </c>
      <c r="DR109">
        <v>0</v>
      </c>
      <c r="DS109">
        <v>1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</row>
    <row r="110" spans="1:131" x14ac:dyDescent="0.35">
      <c r="A110" s="2" t="str">
        <f>"17:42:02.342"</f>
        <v>17:42:02.342</v>
      </c>
      <c r="B110" s="4">
        <f t="shared" si="19"/>
        <v>63722.341999999997</v>
      </c>
      <c r="C110" s="4">
        <f t="shared" si="13"/>
        <v>122.34199999999691</v>
      </c>
      <c r="D110" s="3">
        <f t="shared" si="14"/>
        <v>0.73752710648148145</v>
      </c>
      <c r="E110" s="2">
        <f t="shared" si="15"/>
        <v>0.73752710648148145</v>
      </c>
      <c r="G110" t="str">
        <f t="shared" si="10"/>
        <v>FFDFD7C0</v>
      </c>
      <c r="H110" t="s">
        <v>126</v>
      </c>
      <c r="I110">
        <v>8</v>
      </c>
      <c r="J110">
        <v>1008</v>
      </c>
      <c r="K110" t="s">
        <v>129</v>
      </c>
      <c r="N110" t="s">
        <v>127</v>
      </c>
      <c r="O110">
        <v>0</v>
      </c>
      <c r="P110">
        <v>3</v>
      </c>
      <c r="Q110">
        <v>0</v>
      </c>
      <c r="R110">
        <v>2</v>
      </c>
      <c r="S110">
        <v>1</v>
      </c>
      <c r="T110">
        <v>0</v>
      </c>
      <c r="U110">
        <v>0</v>
      </c>
      <c r="W110" t="str">
        <f>"17:42:02.016"</f>
        <v>17:42:02.016</v>
      </c>
      <c r="X110" t="str">
        <f>"17:42:02.016"</f>
        <v>17:42:02.016</v>
      </c>
      <c r="Y110" t="str">
        <f t="shared" si="11"/>
        <v>A7C771</v>
      </c>
      <c r="Z110">
        <v>0</v>
      </c>
      <c r="AA110">
        <v>0</v>
      </c>
      <c r="AB110">
        <v>2</v>
      </c>
      <c r="AC110">
        <v>0</v>
      </c>
      <c r="AE110">
        <v>0</v>
      </c>
      <c r="AF110">
        <v>8</v>
      </c>
      <c r="AG110">
        <v>3</v>
      </c>
      <c r="AH110">
        <v>0</v>
      </c>
      <c r="AI110">
        <v>9</v>
      </c>
      <c r="AJ110" t="s">
        <v>125</v>
      </c>
      <c r="AK110">
        <v>0</v>
      </c>
      <c r="AL110">
        <v>3</v>
      </c>
      <c r="AM110">
        <v>2</v>
      </c>
      <c r="AN110">
        <v>1</v>
      </c>
      <c r="AO110" t="s">
        <v>354</v>
      </c>
      <c r="AP110">
        <v>42.803249000000001</v>
      </c>
      <c r="AQ110" t="s">
        <v>355</v>
      </c>
      <c r="AR110">
        <v>-77.670914999999994</v>
      </c>
      <c r="AS110">
        <v>25</v>
      </c>
      <c r="AT110">
        <v>3600</v>
      </c>
      <c r="AU110" t="s">
        <v>123</v>
      </c>
      <c r="AV110">
        <v>83</v>
      </c>
      <c r="AW110">
        <v>142</v>
      </c>
      <c r="AX110">
        <v>128</v>
      </c>
      <c r="AZ110">
        <f t="shared" si="16"/>
        <v>6889</v>
      </c>
      <c r="BA110">
        <f t="shared" si="17"/>
        <v>20164</v>
      </c>
      <c r="BB110" s="1">
        <f t="shared" si="18"/>
        <v>164.47796204963143</v>
      </c>
      <c r="BJ110">
        <v>1404</v>
      </c>
      <c r="BK110">
        <v>1</v>
      </c>
      <c r="BL110" t="str">
        <f t="shared" si="12"/>
        <v xml:space="preserve">N600C   </v>
      </c>
      <c r="BM110">
        <v>2</v>
      </c>
      <c r="BO110">
        <v>0</v>
      </c>
      <c r="BP110">
        <v>0</v>
      </c>
      <c r="BQ110">
        <v>0</v>
      </c>
      <c r="BR110">
        <v>3675</v>
      </c>
      <c r="BS110">
        <v>75</v>
      </c>
      <c r="BT110" t="s">
        <v>128</v>
      </c>
      <c r="BU110">
        <v>0</v>
      </c>
      <c r="BV110">
        <v>0</v>
      </c>
      <c r="BW110">
        <v>0</v>
      </c>
      <c r="BX110">
        <v>1</v>
      </c>
      <c r="CA110">
        <v>0</v>
      </c>
      <c r="CB110">
        <v>0</v>
      </c>
      <c r="CC110">
        <v>0</v>
      </c>
      <c r="CM110" t="str">
        <f>"17:42:02.023"</f>
        <v>17:42:02.023</v>
      </c>
      <c r="CN110">
        <v>22763653</v>
      </c>
      <c r="CQ110">
        <v>0</v>
      </c>
      <c r="CR110">
        <v>4000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2</v>
      </c>
      <c r="DC110">
        <v>0</v>
      </c>
      <c r="DD110">
        <v>2</v>
      </c>
      <c r="DE110">
        <v>0</v>
      </c>
      <c r="DF110">
        <v>7</v>
      </c>
      <c r="DG110">
        <v>7</v>
      </c>
      <c r="DH110" t="s">
        <v>124</v>
      </c>
      <c r="DI110">
        <v>71</v>
      </c>
      <c r="DJ110">
        <v>1</v>
      </c>
      <c r="DK110" t="s">
        <v>134</v>
      </c>
      <c r="DL110" t="s">
        <v>135</v>
      </c>
      <c r="DO110">
        <v>11304221</v>
      </c>
      <c r="DQ110">
        <v>0</v>
      </c>
      <c r="DR110">
        <v>0</v>
      </c>
      <c r="DS110">
        <v>1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</row>
    <row r="111" spans="1:131" x14ac:dyDescent="0.35">
      <c r="A111" s="2" t="str">
        <f>"17:42:03.406"</f>
        <v>17:42:03.406</v>
      </c>
      <c r="B111" s="4">
        <f t="shared" si="19"/>
        <v>63723.406000000003</v>
      </c>
      <c r="C111" s="4">
        <f t="shared" si="13"/>
        <v>123.40600000000268</v>
      </c>
      <c r="D111" s="3">
        <f t="shared" si="14"/>
        <v>0.73753942129629635</v>
      </c>
      <c r="E111" s="2">
        <f t="shared" si="15"/>
        <v>0.73753942129629635</v>
      </c>
      <c r="G111" t="str">
        <f t="shared" si="10"/>
        <v>FFDFD7C0</v>
      </c>
      <c r="H111" t="s">
        <v>126</v>
      </c>
      <c r="I111">
        <v>8</v>
      </c>
      <c r="J111">
        <v>1008</v>
      </c>
      <c r="K111" t="s">
        <v>129</v>
      </c>
      <c r="N111" t="s">
        <v>127</v>
      </c>
      <c r="O111">
        <v>0</v>
      </c>
      <c r="P111">
        <v>3</v>
      </c>
      <c r="Q111">
        <v>0</v>
      </c>
      <c r="R111">
        <v>2</v>
      </c>
      <c r="S111">
        <v>1</v>
      </c>
      <c r="T111">
        <v>0</v>
      </c>
      <c r="U111">
        <v>0</v>
      </c>
      <c r="W111" t="str">
        <f>"17:42:03.094"</f>
        <v>17:42:03.094</v>
      </c>
      <c r="X111" t="str">
        <f>"17:42:02.594"</f>
        <v>17:42:02.594</v>
      </c>
      <c r="Y111" t="str">
        <f t="shared" si="11"/>
        <v>A7C771</v>
      </c>
      <c r="Z111">
        <v>0</v>
      </c>
      <c r="AA111">
        <v>0</v>
      </c>
      <c r="AB111">
        <v>2</v>
      </c>
      <c r="AC111">
        <v>0</v>
      </c>
      <c r="AE111">
        <v>0</v>
      </c>
      <c r="AF111">
        <v>8</v>
      </c>
      <c r="AG111">
        <v>3</v>
      </c>
      <c r="AH111">
        <v>0</v>
      </c>
      <c r="AI111">
        <v>9</v>
      </c>
      <c r="AJ111" t="s">
        <v>125</v>
      </c>
      <c r="AK111">
        <v>0</v>
      </c>
      <c r="AL111">
        <v>3</v>
      </c>
      <c r="AM111">
        <v>2</v>
      </c>
      <c r="AN111">
        <v>1</v>
      </c>
      <c r="AO111" t="s">
        <v>356</v>
      </c>
      <c r="AP111">
        <v>42.803893000000002</v>
      </c>
      <c r="AQ111" t="s">
        <v>357</v>
      </c>
      <c r="AR111">
        <v>-77.670400000000001</v>
      </c>
      <c r="AS111">
        <v>25</v>
      </c>
      <c r="AT111">
        <v>3600</v>
      </c>
      <c r="AU111" t="s">
        <v>123</v>
      </c>
      <c r="AV111">
        <v>84</v>
      </c>
      <c r="AW111">
        <v>142</v>
      </c>
      <c r="AX111">
        <v>128</v>
      </c>
      <c r="AZ111">
        <f t="shared" si="16"/>
        <v>7056</v>
      </c>
      <c r="BA111">
        <f t="shared" si="17"/>
        <v>20164</v>
      </c>
      <c r="BB111" s="1">
        <f t="shared" si="18"/>
        <v>164.98484778912274</v>
      </c>
      <c r="BJ111">
        <v>1404</v>
      </c>
      <c r="BK111">
        <v>1</v>
      </c>
      <c r="BL111" t="str">
        <f t="shared" si="12"/>
        <v xml:space="preserve">N600C   </v>
      </c>
      <c r="BM111">
        <v>2</v>
      </c>
      <c r="BO111">
        <v>0</v>
      </c>
      <c r="BP111">
        <v>0</v>
      </c>
      <c r="BQ111">
        <v>0</v>
      </c>
      <c r="BR111">
        <v>3700</v>
      </c>
      <c r="BS111">
        <v>100</v>
      </c>
      <c r="BT111" t="s">
        <v>128</v>
      </c>
      <c r="BU111">
        <v>0</v>
      </c>
      <c r="BV111">
        <v>0</v>
      </c>
      <c r="BW111">
        <v>0</v>
      </c>
      <c r="BX111">
        <v>1</v>
      </c>
      <c r="CA111">
        <v>0</v>
      </c>
      <c r="CB111">
        <v>0</v>
      </c>
      <c r="CC111">
        <v>0</v>
      </c>
      <c r="CM111" t="str">
        <f>"17:42:03.095"</f>
        <v>17:42:03.095</v>
      </c>
      <c r="CN111">
        <v>95029333</v>
      </c>
      <c r="CQ111">
        <v>0</v>
      </c>
      <c r="CR111">
        <v>4000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2</v>
      </c>
      <c r="DC111">
        <v>0</v>
      </c>
      <c r="DD111">
        <v>2</v>
      </c>
      <c r="DE111">
        <v>0</v>
      </c>
      <c r="DF111">
        <v>7</v>
      </c>
      <c r="DG111">
        <v>7</v>
      </c>
      <c r="DH111" t="s">
        <v>124</v>
      </c>
      <c r="DI111">
        <v>407</v>
      </c>
      <c r="DJ111">
        <v>3</v>
      </c>
      <c r="DK111" t="s">
        <v>132</v>
      </c>
      <c r="DL111" t="s">
        <v>133</v>
      </c>
      <c r="DO111">
        <v>1337293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</row>
    <row r="112" spans="1:131" x14ac:dyDescent="0.35">
      <c r="A112" s="2" t="str">
        <f>"17:42:04.552"</f>
        <v>17:42:04.552</v>
      </c>
      <c r="B112" s="4">
        <f t="shared" si="19"/>
        <v>63724.552000000003</v>
      </c>
      <c r="C112" s="4">
        <f t="shared" si="13"/>
        <v>124.55200000000332</v>
      </c>
      <c r="D112" s="3">
        <f t="shared" si="14"/>
        <v>0.73755268518518524</v>
      </c>
      <c r="E112" s="2">
        <f t="shared" si="15"/>
        <v>0.73755268518518524</v>
      </c>
      <c r="G112" t="str">
        <f t="shared" si="10"/>
        <v>FFDFD7C0</v>
      </c>
      <c r="H112" t="s">
        <v>126</v>
      </c>
      <c r="I112">
        <v>8</v>
      </c>
      <c r="J112">
        <v>1008</v>
      </c>
      <c r="K112" t="s">
        <v>129</v>
      </c>
      <c r="N112" t="s">
        <v>127</v>
      </c>
      <c r="O112">
        <v>0</v>
      </c>
      <c r="P112">
        <v>3</v>
      </c>
      <c r="Q112">
        <v>0</v>
      </c>
      <c r="R112">
        <v>2</v>
      </c>
      <c r="S112">
        <v>1</v>
      </c>
      <c r="T112">
        <v>0</v>
      </c>
      <c r="U112">
        <v>0</v>
      </c>
      <c r="W112" t="str">
        <f>"17:42:04.078"</f>
        <v>17:42:04.078</v>
      </c>
      <c r="X112" t="str">
        <f>"17:42:03.678"</f>
        <v>17:42:03.678</v>
      </c>
      <c r="Y112" t="str">
        <f t="shared" si="11"/>
        <v>A7C771</v>
      </c>
      <c r="Z112">
        <v>0</v>
      </c>
      <c r="AA112">
        <v>0</v>
      </c>
      <c r="AB112">
        <v>2</v>
      </c>
      <c r="AC112">
        <v>0</v>
      </c>
      <c r="AE112">
        <v>0</v>
      </c>
      <c r="AF112">
        <v>8</v>
      </c>
      <c r="AG112">
        <v>3</v>
      </c>
      <c r="AH112">
        <v>0</v>
      </c>
      <c r="AI112">
        <v>9</v>
      </c>
      <c r="AJ112" t="s">
        <v>125</v>
      </c>
      <c r="AK112">
        <v>0</v>
      </c>
      <c r="AL112">
        <v>3</v>
      </c>
      <c r="AM112">
        <v>2</v>
      </c>
      <c r="AN112">
        <v>1</v>
      </c>
      <c r="AO112" t="s">
        <v>358</v>
      </c>
      <c r="AP112">
        <v>42.804558</v>
      </c>
      <c r="AQ112" t="s">
        <v>359</v>
      </c>
      <c r="AR112">
        <v>-77.669884999999994</v>
      </c>
      <c r="AS112">
        <v>25</v>
      </c>
      <c r="AT112">
        <v>3600</v>
      </c>
      <c r="AU112" t="s">
        <v>123</v>
      </c>
      <c r="AV112">
        <v>84</v>
      </c>
      <c r="AW112">
        <v>143</v>
      </c>
      <c r="AX112">
        <v>192</v>
      </c>
      <c r="AZ112">
        <f t="shared" si="16"/>
        <v>7056</v>
      </c>
      <c r="BA112">
        <f t="shared" si="17"/>
        <v>20449</v>
      </c>
      <c r="BB112" s="1">
        <f t="shared" si="18"/>
        <v>165.84631439980811</v>
      </c>
      <c r="BJ112">
        <v>1404</v>
      </c>
      <c r="BK112">
        <v>1</v>
      </c>
      <c r="BL112" t="str">
        <f t="shared" si="12"/>
        <v xml:space="preserve">N600C   </v>
      </c>
      <c r="BM112">
        <v>2</v>
      </c>
      <c r="BO112">
        <v>0</v>
      </c>
      <c r="BP112">
        <v>0</v>
      </c>
      <c r="BQ112">
        <v>0</v>
      </c>
      <c r="BR112">
        <v>3700</v>
      </c>
      <c r="BS112">
        <v>100</v>
      </c>
      <c r="BT112" t="s">
        <v>128</v>
      </c>
      <c r="BU112">
        <v>0</v>
      </c>
      <c r="BV112">
        <v>0</v>
      </c>
      <c r="BW112">
        <v>0</v>
      </c>
      <c r="BX112">
        <v>1</v>
      </c>
      <c r="CA112">
        <v>0</v>
      </c>
      <c r="CB112">
        <v>0</v>
      </c>
      <c r="CC112">
        <v>0</v>
      </c>
      <c r="CM112" t="str">
        <f>"17:42:04.079"</f>
        <v>17:42:04.079</v>
      </c>
      <c r="CN112">
        <v>79148409</v>
      </c>
      <c r="CQ112">
        <v>0</v>
      </c>
      <c r="CR112">
        <v>4000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2</v>
      </c>
      <c r="DC112">
        <v>0</v>
      </c>
      <c r="DD112">
        <v>2</v>
      </c>
      <c r="DE112">
        <v>0</v>
      </c>
      <c r="DF112">
        <v>7</v>
      </c>
      <c r="DG112">
        <v>7</v>
      </c>
      <c r="DH112" t="s">
        <v>124</v>
      </c>
      <c r="DI112">
        <v>71</v>
      </c>
      <c r="DJ112">
        <v>1</v>
      </c>
      <c r="DK112" t="s">
        <v>134</v>
      </c>
      <c r="DL112" t="s">
        <v>135</v>
      </c>
      <c r="DO112">
        <v>11306030</v>
      </c>
      <c r="DQ112">
        <v>0</v>
      </c>
      <c r="DR112">
        <v>0</v>
      </c>
      <c r="DS112">
        <v>1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</row>
    <row r="113" spans="1:131" x14ac:dyDescent="0.35">
      <c r="A113" s="2" t="str">
        <f>"17:42:05.323"</f>
        <v>17:42:05.323</v>
      </c>
      <c r="B113" s="4">
        <f t="shared" si="19"/>
        <v>63725.322999999997</v>
      </c>
      <c r="C113" s="4">
        <f t="shared" si="13"/>
        <v>125.32299999999668</v>
      </c>
      <c r="D113" s="3">
        <f t="shared" si="14"/>
        <v>0.73756160879629629</v>
      </c>
      <c r="E113" s="2">
        <f t="shared" si="15"/>
        <v>0.73756160879629629</v>
      </c>
      <c r="G113" t="str">
        <f t="shared" si="10"/>
        <v>FFDFD7C0</v>
      </c>
      <c r="H113" t="s">
        <v>126</v>
      </c>
      <c r="I113">
        <v>8</v>
      </c>
      <c r="J113">
        <v>1008</v>
      </c>
      <c r="K113" t="s">
        <v>129</v>
      </c>
      <c r="N113" t="s">
        <v>127</v>
      </c>
      <c r="O113">
        <v>0</v>
      </c>
      <c r="P113">
        <v>3</v>
      </c>
      <c r="Q113">
        <v>0</v>
      </c>
      <c r="R113">
        <v>2</v>
      </c>
      <c r="S113">
        <v>1</v>
      </c>
      <c r="T113">
        <v>0</v>
      </c>
      <c r="U113">
        <v>0</v>
      </c>
      <c r="W113" t="str">
        <f>"17:42:05.156"</f>
        <v>17:42:05.156</v>
      </c>
      <c r="X113" t="str">
        <f>"17:42:05.156"</f>
        <v>17:42:05.156</v>
      </c>
      <c r="Y113" t="str">
        <f t="shared" si="11"/>
        <v>A7C771</v>
      </c>
      <c r="Z113">
        <v>0</v>
      </c>
      <c r="AA113">
        <v>0</v>
      </c>
      <c r="AB113">
        <v>2</v>
      </c>
      <c r="AC113">
        <v>0</v>
      </c>
      <c r="AE113">
        <v>0</v>
      </c>
      <c r="AF113">
        <v>8</v>
      </c>
      <c r="AG113">
        <v>3</v>
      </c>
      <c r="AH113">
        <v>0</v>
      </c>
      <c r="AI113">
        <v>9</v>
      </c>
      <c r="AJ113" t="s">
        <v>125</v>
      </c>
      <c r="AK113">
        <v>0</v>
      </c>
      <c r="AL113">
        <v>3</v>
      </c>
      <c r="AM113">
        <v>2</v>
      </c>
      <c r="AN113">
        <v>1</v>
      </c>
      <c r="AO113" t="s">
        <v>360</v>
      </c>
      <c r="AP113">
        <v>42.805287999999997</v>
      </c>
      <c r="AQ113" t="s">
        <v>361</v>
      </c>
      <c r="AR113">
        <v>-77.669284000000005</v>
      </c>
      <c r="AS113">
        <v>25</v>
      </c>
      <c r="AT113">
        <v>3600</v>
      </c>
      <c r="AU113" t="s">
        <v>123</v>
      </c>
      <c r="AV113">
        <v>84</v>
      </c>
      <c r="AW113">
        <v>143</v>
      </c>
      <c r="AX113">
        <v>256</v>
      </c>
      <c r="AZ113">
        <f t="shared" si="16"/>
        <v>7056</v>
      </c>
      <c r="BA113">
        <f t="shared" si="17"/>
        <v>20449</v>
      </c>
      <c r="BB113" s="1">
        <f t="shared" si="18"/>
        <v>165.84631439980811</v>
      </c>
      <c r="BJ113">
        <v>1404</v>
      </c>
      <c r="BK113">
        <v>1</v>
      </c>
      <c r="BL113" t="str">
        <f t="shared" si="12"/>
        <v xml:space="preserve">N600C   </v>
      </c>
      <c r="BM113">
        <v>2</v>
      </c>
      <c r="BO113">
        <v>0</v>
      </c>
      <c r="BP113">
        <v>0</v>
      </c>
      <c r="BQ113">
        <v>0</v>
      </c>
      <c r="BR113">
        <v>3675</v>
      </c>
      <c r="BS113">
        <v>75</v>
      </c>
      <c r="BT113" t="s">
        <v>128</v>
      </c>
      <c r="BU113">
        <v>0</v>
      </c>
      <c r="BV113">
        <v>0</v>
      </c>
      <c r="BW113">
        <v>0</v>
      </c>
      <c r="BX113">
        <v>1</v>
      </c>
      <c r="CA113">
        <v>0</v>
      </c>
      <c r="CB113">
        <v>0</v>
      </c>
      <c r="CC113">
        <v>0</v>
      </c>
      <c r="CM113" t="str">
        <f>"17:42:05.159"</f>
        <v>17:42:05.159</v>
      </c>
      <c r="CN113">
        <v>159349260</v>
      </c>
      <c r="CQ113">
        <v>0</v>
      </c>
      <c r="CR113">
        <v>4000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2</v>
      </c>
      <c r="DC113">
        <v>0</v>
      </c>
      <c r="DD113">
        <v>2</v>
      </c>
      <c r="DE113">
        <v>0</v>
      </c>
      <c r="DF113">
        <v>7</v>
      </c>
      <c r="DG113">
        <v>7</v>
      </c>
      <c r="DH113" t="s">
        <v>124</v>
      </c>
      <c r="DI113">
        <v>71</v>
      </c>
      <c r="DJ113">
        <v>1</v>
      </c>
      <c r="DK113" t="s">
        <v>134</v>
      </c>
      <c r="DL113" t="s">
        <v>135</v>
      </c>
      <c r="DO113">
        <v>11306925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</row>
    <row r="114" spans="1:131" x14ac:dyDescent="0.35">
      <c r="A114" s="2" t="str">
        <f>"17:42:06.412"</f>
        <v>17:42:06.412</v>
      </c>
      <c r="B114" s="4">
        <f t="shared" si="19"/>
        <v>63726.411999999997</v>
      </c>
      <c r="C114" s="4">
        <f t="shared" si="13"/>
        <v>126.41199999999662</v>
      </c>
      <c r="D114" s="3">
        <f t="shared" si="14"/>
        <v>0.73757421296296288</v>
      </c>
      <c r="E114" s="2">
        <f t="shared" si="15"/>
        <v>0.73757421296296288</v>
      </c>
      <c r="G114" t="str">
        <f t="shared" si="10"/>
        <v>FFDFD7C0</v>
      </c>
      <c r="H114" t="s">
        <v>126</v>
      </c>
      <c r="I114">
        <v>8</v>
      </c>
      <c r="J114">
        <v>1008</v>
      </c>
      <c r="K114" t="s">
        <v>129</v>
      </c>
      <c r="N114" t="s">
        <v>127</v>
      </c>
      <c r="O114">
        <v>0</v>
      </c>
      <c r="P114">
        <v>3</v>
      </c>
      <c r="Q114">
        <v>0</v>
      </c>
      <c r="R114">
        <v>2</v>
      </c>
      <c r="S114">
        <v>1</v>
      </c>
      <c r="T114">
        <v>0</v>
      </c>
      <c r="U114">
        <v>0</v>
      </c>
      <c r="W114" t="str">
        <f>"17:42:06.180"</f>
        <v>17:42:06.180</v>
      </c>
      <c r="X114" t="str">
        <f>"17:42:05.780"</f>
        <v>17:42:05.780</v>
      </c>
      <c r="Y114" t="str">
        <f t="shared" si="11"/>
        <v>A7C771</v>
      </c>
      <c r="Z114">
        <v>0</v>
      </c>
      <c r="AA114">
        <v>0</v>
      </c>
      <c r="AB114">
        <v>2</v>
      </c>
      <c r="AC114">
        <v>0</v>
      </c>
      <c r="AE114">
        <v>0</v>
      </c>
      <c r="AF114">
        <v>8</v>
      </c>
      <c r="AG114">
        <v>3</v>
      </c>
      <c r="AH114">
        <v>0</v>
      </c>
      <c r="AI114">
        <v>9</v>
      </c>
      <c r="AJ114" t="s">
        <v>125</v>
      </c>
      <c r="AK114">
        <v>0</v>
      </c>
      <c r="AL114">
        <v>3</v>
      </c>
      <c r="AM114">
        <v>2</v>
      </c>
      <c r="AN114">
        <v>1</v>
      </c>
      <c r="AO114" t="s">
        <v>362</v>
      </c>
      <c r="AP114">
        <v>42.805931999999999</v>
      </c>
      <c r="AQ114" t="s">
        <v>363</v>
      </c>
      <c r="AR114">
        <v>-77.668726000000007</v>
      </c>
      <c r="AS114">
        <v>25</v>
      </c>
      <c r="AT114">
        <v>3600</v>
      </c>
      <c r="AU114" t="s">
        <v>123</v>
      </c>
      <c r="AV114">
        <v>85</v>
      </c>
      <c r="AW114">
        <v>143</v>
      </c>
      <c r="AX114">
        <v>256</v>
      </c>
      <c r="AZ114">
        <f t="shared" si="16"/>
        <v>7225</v>
      </c>
      <c r="BA114">
        <f t="shared" si="17"/>
        <v>20449</v>
      </c>
      <c r="BB114" s="1">
        <f t="shared" si="18"/>
        <v>166.35504200354134</v>
      </c>
      <c r="BJ114">
        <v>1404</v>
      </c>
      <c r="BK114">
        <v>1</v>
      </c>
      <c r="BL114" t="str">
        <f t="shared" si="12"/>
        <v xml:space="preserve">N600C   </v>
      </c>
      <c r="BM114">
        <v>2</v>
      </c>
      <c r="BO114">
        <v>0</v>
      </c>
      <c r="BP114">
        <v>0</v>
      </c>
      <c r="BQ114">
        <v>0</v>
      </c>
      <c r="BR114">
        <v>3700</v>
      </c>
      <c r="BS114">
        <v>100</v>
      </c>
      <c r="BT114" t="s">
        <v>128</v>
      </c>
      <c r="BU114">
        <v>0</v>
      </c>
      <c r="BV114">
        <v>0</v>
      </c>
      <c r="BW114">
        <v>0</v>
      </c>
      <c r="BX114">
        <v>1</v>
      </c>
      <c r="CA114">
        <v>0</v>
      </c>
      <c r="CB114">
        <v>0</v>
      </c>
      <c r="CC114">
        <v>0</v>
      </c>
      <c r="CM114" t="str">
        <f>"17:42:06.184"</f>
        <v>17:42:06.184</v>
      </c>
      <c r="CN114">
        <v>183533202</v>
      </c>
      <c r="CQ114">
        <v>0</v>
      </c>
      <c r="CR114">
        <v>4000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2</v>
      </c>
      <c r="DC114">
        <v>0</v>
      </c>
      <c r="DD114">
        <v>2</v>
      </c>
      <c r="DE114">
        <v>0</v>
      </c>
      <c r="DF114">
        <v>7</v>
      </c>
      <c r="DG114">
        <v>7</v>
      </c>
      <c r="DH114" t="s">
        <v>124</v>
      </c>
      <c r="DI114">
        <v>71</v>
      </c>
      <c r="DJ114">
        <v>1</v>
      </c>
      <c r="DK114" t="s">
        <v>134</v>
      </c>
      <c r="DL114" t="s">
        <v>135</v>
      </c>
      <c r="DO114">
        <v>11307846</v>
      </c>
      <c r="DQ114">
        <v>0</v>
      </c>
      <c r="DR114">
        <v>0</v>
      </c>
      <c r="DS114">
        <v>1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</row>
    <row r="115" spans="1:131" x14ac:dyDescent="0.35">
      <c r="A115" s="2" t="str">
        <f>"17:42:07.491"</f>
        <v>17:42:07.491</v>
      </c>
      <c r="B115" s="4">
        <f t="shared" si="19"/>
        <v>63727.491000000002</v>
      </c>
      <c r="C115" s="4">
        <f t="shared" si="13"/>
        <v>127.4910000000018</v>
      </c>
      <c r="D115" s="3">
        <f t="shared" si="14"/>
        <v>0.73758670138888893</v>
      </c>
      <c r="E115" s="2">
        <f t="shared" si="15"/>
        <v>0.73758670138888893</v>
      </c>
      <c r="G115" t="str">
        <f t="shared" si="10"/>
        <v>FFDFD7C0</v>
      </c>
      <c r="H115" t="s">
        <v>126</v>
      </c>
      <c r="I115">
        <v>8</v>
      </c>
      <c r="J115">
        <v>1008</v>
      </c>
      <c r="K115" t="s">
        <v>129</v>
      </c>
      <c r="N115" t="s">
        <v>127</v>
      </c>
      <c r="O115">
        <v>0</v>
      </c>
      <c r="P115">
        <v>3</v>
      </c>
      <c r="Q115">
        <v>0</v>
      </c>
      <c r="R115">
        <v>2</v>
      </c>
      <c r="S115">
        <v>1</v>
      </c>
      <c r="T115">
        <v>0</v>
      </c>
      <c r="U115">
        <v>0</v>
      </c>
      <c r="W115" t="str">
        <f>"17:42:07.320"</f>
        <v>17:42:07.320</v>
      </c>
      <c r="X115" t="str">
        <f>"17:42:07.320"</f>
        <v>17:42:07.320</v>
      </c>
      <c r="Y115" t="str">
        <f t="shared" si="11"/>
        <v>A7C771</v>
      </c>
      <c r="Z115">
        <v>0</v>
      </c>
      <c r="AA115">
        <v>0</v>
      </c>
      <c r="AB115">
        <v>2</v>
      </c>
      <c r="AC115">
        <v>0</v>
      </c>
      <c r="AE115">
        <v>0</v>
      </c>
      <c r="AF115">
        <v>8</v>
      </c>
      <c r="AG115">
        <v>3</v>
      </c>
      <c r="AH115">
        <v>0</v>
      </c>
      <c r="AI115">
        <v>9</v>
      </c>
      <c r="AJ115" t="s">
        <v>125</v>
      </c>
      <c r="AK115">
        <v>0</v>
      </c>
      <c r="AL115">
        <v>3</v>
      </c>
      <c r="AM115">
        <v>2</v>
      </c>
      <c r="AN115">
        <v>1</v>
      </c>
      <c r="AO115" t="s">
        <v>364</v>
      </c>
      <c r="AP115">
        <v>42.806767999999998</v>
      </c>
      <c r="AQ115" t="s">
        <v>365</v>
      </c>
      <c r="AR115">
        <v>-77.668104</v>
      </c>
      <c r="AS115">
        <v>25</v>
      </c>
      <c r="AT115">
        <v>3600</v>
      </c>
      <c r="AU115" t="s">
        <v>123</v>
      </c>
      <c r="AV115">
        <v>85</v>
      </c>
      <c r="AW115">
        <v>143</v>
      </c>
      <c r="AX115">
        <v>256</v>
      </c>
      <c r="AZ115">
        <f t="shared" si="16"/>
        <v>7225</v>
      </c>
      <c r="BA115">
        <f t="shared" si="17"/>
        <v>20449</v>
      </c>
      <c r="BB115" s="1">
        <f t="shared" si="18"/>
        <v>166.35504200354134</v>
      </c>
      <c r="BJ115">
        <v>1404</v>
      </c>
      <c r="BK115">
        <v>1</v>
      </c>
      <c r="BL115" t="str">
        <f t="shared" si="12"/>
        <v xml:space="preserve">N600C   </v>
      </c>
      <c r="BM115">
        <v>2</v>
      </c>
      <c r="BO115">
        <v>0</v>
      </c>
      <c r="BP115">
        <v>0</v>
      </c>
      <c r="BQ115">
        <v>0</v>
      </c>
      <c r="BR115">
        <v>3700</v>
      </c>
      <c r="BS115">
        <v>100</v>
      </c>
      <c r="BT115" t="s">
        <v>128</v>
      </c>
      <c r="BU115">
        <v>0</v>
      </c>
      <c r="BV115">
        <v>0</v>
      </c>
      <c r="BW115">
        <v>0</v>
      </c>
      <c r="BX115">
        <v>1</v>
      </c>
      <c r="CA115">
        <v>0</v>
      </c>
      <c r="CB115">
        <v>0</v>
      </c>
      <c r="CC115">
        <v>0</v>
      </c>
      <c r="CM115" t="str">
        <f>"17:42:07.328"</f>
        <v>17:42:07.328</v>
      </c>
      <c r="CN115">
        <v>327746672</v>
      </c>
      <c r="CQ115">
        <v>0</v>
      </c>
      <c r="CR115">
        <v>4000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2</v>
      </c>
      <c r="DC115">
        <v>0</v>
      </c>
      <c r="DD115">
        <v>2</v>
      </c>
      <c r="DE115">
        <v>0</v>
      </c>
      <c r="DF115">
        <v>7</v>
      </c>
      <c r="DG115">
        <v>7</v>
      </c>
      <c r="DH115" t="s">
        <v>124</v>
      </c>
      <c r="DI115">
        <v>71</v>
      </c>
      <c r="DJ115">
        <v>1</v>
      </c>
      <c r="DK115" t="s">
        <v>134</v>
      </c>
      <c r="DL115" t="s">
        <v>135</v>
      </c>
      <c r="DO115">
        <v>11308869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</row>
    <row r="116" spans="1:131" x14ac:dyDescent="0.35">
      <c r="A116" s="2" t="str">
        <f>"17:42:08.589"</f>
        <v>17:42:08.589</v>
      </c>
      <c r="B116" s="4">
        <f t="shared" si="19"/>
        <v>63728.589000000007</v>
      </c>
      <c r="C116" s="4">
        <f t="shared" si="13"/>
        <v>128.58900000000722</v>
      </c>
      <c r="D116" s="3">
        <f t="shared" si="14"/>
        <v>0.73759940972222227</v>
      </c>
      <c r="E116" s="2">
        <f t="shared" si="15"/>
        <v>0.73759940972222227</v>
      </c>
      <c r="G116" t="str">
        <f t="shared" si="10"/>
        <v>FFDFD7C0</v>
      </c>
      <c r="H116" t="s">
        <v>126</v>
      </c>
      <c r="I116">
        <v>8</v>
      </c>
      <c r="J116">
        <v>1008</v>
      </c>
      <c r="K116" t="s">
        <v>129</v>
      </c>
      <c r="N116" t="s">
        <v>127</v>
      </c>
      <c r="O116">
        <v>0</v>
      </c>
      <c r="P116">
        <v>3</v>
      </c>
      <c r="Q116">
        <v>0</v>
      </c>
      <c r="R116">
        <v>2</v>
      </c>
      <c r="S116">
        <v>1</v>
      </c>
      <c r="T116">
        <v>0</v>
      </c>
      <c r="U116">
        <v>0</v>
      </c>
      <c r="W116" t="str">
        <f>"17:42:08.305"</f>
        <v>17:42:08.305</v>
      </c>
      <c r="X116" t="str">
        <f>"17:42:07.805"</f>
        <v>17:42:07.805</v>
      </c>
      <c r="Y116" t="str">
        <f t="shared" si="11"/>
        <v>A7C771</v>
      </c>
      <c r="Z116">
        <v>0</v>
      </c>
      <c r="AA116">
        <v>0</v>
      </c>
      <c r="AB116">
        <v>2</v>
      </c>
      <c r="AC116">
        <v>0</v>
      </c>
      <c r="AE116">
        <v>0</v>
      </c>
      <c r="AF116">
        <v>8</v>
      </c>
      <c r="AG116">
        <v>3</v>
      </c>
      <c r="AH116">
        <v>0</v>
      </c>
      <c r="AI116">
        <v>9</v>
      </c>
      <c r="AJ116" t="s">
        <v>125</v>
      </c>
      <c r="AK116">
        <v>0</v>
      </c>
      <c r="AL116">
        <v>3</v>
      </c>
      <c r="AM116">
        <v>2</v>
      </c>
      <c r="AN116">
        <v>1</v>
      </c>
      <c r="AO116" t="s">
        <v>366</v>
      </c>
      <c r="AP116">
        <v>42.807347999999998</v>
      </c>
      <c r="AQ116" t="s">
        <v>367</v>
      </c>
      <c r="AR116">
        <v>-77.667589000000007</v>
      </c>
      <c r="AS116">
        <v>25</v>
      </c>
      <c r="AT116">
        <v>3600</v>
      </c>
      <c r="AU116" t="s">
        <v>123</v>
      </c>
      <c r="AV116">
        <v>86</v>
      </c>
      <c r="AW116">
        <v>144</v>
      </c>
      <c r="AX116">
        <v>192</v>
      </c>
      <c r="AZ116">
        <f t="shared" si="16"/>
        <v>7396</v>
      </c>
      <c r="BA116">
        <f t="shared" si="17"/>
        <v>20736</v>
      </c>
      <c r="BB116" s="1">
        <f t="shared" si="18"/>
        <v>167.72596698186004</v>
      </c>
      <c r="BJ116">
        <v>1404</v>
      </c>
      <c r="BK116">
        <v>1</v>
      </c>
      <c r="BL116" t="str">
        <f t="shared" si="12"/>
        <v xml:space="preserve">N600C   </v>
      </c>
      <c r="BM116">
        <v>2</v>
      </c>
      <c r="BO116">
        <v>0</v>
      </c>
      <c r="BP116">
        <v>0</v>
      </c>
      <c r="BQ116">
        <v>0</v>
      </c>
      <c r="BR116">
        <v>3700</v>
      </c>
      <c r="BS116">
        <v>100</v>
      </c>
      <c r="BT116" t="s">
        <v>128</v>
      </c>
      <c r="BU116">
        <v>0</v>
      </c>
      <c r="BV116">
        <v>0</v>
      </c>
      <c r="BW116">
        <v>0</v>
      </c>
      <c r="BX116">
        <v>1</v>
      </c>
      <c r="CA116">
        <v>0</v>
      </c>
      <c r="CB116">
        <v>0</v>
      </c>
      <c r="CC116">
        <v>0</v>
      </c>
      <c r="CM116" t="str">
        <f>"17:42:08.312"</f>
        <v>17:42:08.312</v>
      </c>
      <c r="CN116">
        <v>311932564</v>
      </c>
      <c r="CQ116">
        <v>0</v>
      </c>
      <c r="CR116">
        <v>4000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2</v>
      </c>
      <c r="DC116">
        <v>0</v>
      </c>
      <c r="DD116">
        <v>2</v>
      </c>
      <c r="DE116">
        <v>0</v>
      </c>
      <c r="DF116">
        <v>7</v>
      </c>
      <c r="DG116">
        <v>7</v>
      </c>
      <c r="DH116" t="s">
        <v>124</v>
      </c>
      <c r="DI116">
        <v>71</v>
      </c>
      <c r="DJ116">
        <v>1</v>
      </c>
      <c r="DK116" t="s">
        <v>134</v>
      </c>
      <c r="DL116" t="s">
        <v>135</v>
      </c>
      <c r="DO116">
        <v>11309771</v>
      </c>
      <c r="DQ116">
        <v>0</v>
      </c>
      <c r="DR116">
        <v>0</v>
      </c>
      <c r="DS116">
        <v>1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</row>
    <row r="117" spans="1:131" x14ac:dyDescent="0.35">
      <c r="A117" s="2" t="str">
        <f>"17:42:09.598"</f>
        <v>17:42:09.598</v>
      </c>
      <c r="B117" s="4">
        <f t="shared" si="19"/>
        <v>63729.597999999998</v>
      </c>
      <c r="C117" s="4">
        <f t="shared" si="13"/>
        <v>129.59799999999814</v>
      </c>
      <c r="D117" s="3">
        <f t="shared" si="14"/>
        <v>0.73761108796296293</v>
      </c>
      <c r="E117" s="2">
        <f t="shared" si="15"/>
        <v>0.73761108796296293</v>
      </c>
      <c r="G117" t="str">
        <f t="shared" si="10"/>
        <v>FFDFD7C0</v>
      </c>
      <c r="H117" t="s">
        <v>126</v>
      </c>
      <c r="I117">
        <v>8</v>
      </c>
      <c r="J117">
        <v>1008</v>
      </c>
      <c r="K117" t="s">
        <v>129</v>
      </c>
      <c r="N117" t="s">
        <v>127</v>
      </c>
      <c r="O117">
        <v>0</v>
      </c>
      <c r="P117">
        <v>3</v>
      </c>
      <c r="Q117">
        <v>0</v>
      </c>
      <c r="R117">
        <v>2</v>
      </c>
      <c r="S117">
        <v>1</v>
      </c>
      <c r="T117">
        <v>0</v>
      </c>
      <c r="U117">
        <v>0</v>
      </c>
      <c r="W117" t="str">
        <f>"17:42:09.352"</f>
        <v>17:42:09.352</v>
      </c>
      <c r="X117" t="str">
        <f>"17:42:09.352"</f>
        <v>17:42:09.352</v>
      </c>
      <c r="Y117" t="str">
        <f t="shared" si="11"/>
        <v>A7C771</v>
      </c>
      <c r="Z117">
        <v>0</v>
      </c>
      <c r="AA117">
        <v>0</v>
      </c>
      <c r="AB117">
        <v>2</v>
      </c>
      <c r="AC117">
        <v>0</v>
      </c>
      <c r="AE117">
        <v>0</v>
      </c>
      <c r="AF117">
        <v>8</v>
      </c>
      <c r="AG117">
        <v>3</v>
      </c>
      <c r="AH117">
        <v>0</v>
      </c>
      <c r="AI117">
        <v>9</v>
      </c>
      <c r="AJ117" t="s">
        <v>125</v>
      </c>
      <c r="AK117">
        <v>0</v>
      </c>
      <c r="AL117">
        <v>3</v>
      </c>
      <c r="AM117">
        <v>2</v>
      </c>
      <c r="AN117">
        <v>1</v>
      </c>
      <c r="AO117" t="s">
        <v>368</v>
      </c>
      <c r="AP117">
        <v>42.808098999999999</v>
      </c>
      <c r="AQ117" t="s">
        <v>369</v>
      </c>
      <c r="AR117">
        <v>-77.667030999999994</v>
      </c>
      <c r="AS117">
        <v>25</v>
      </c>
      <c r="AT117">
        <v>3600</v>
      </c>
      <c r="AU117" t="s">
        <v>123</v>
      </c>
      <c r="AV117">
        <v>86</v>
      </c>
      <c r="AW117">
        <v>144</v>
      </c>
      <c r="AX117">
        <v>128</v>
      </c>
      <c r="AZ117">
        <f t="shared" si="16"/>
        <v>7396</v>
      </c>
      <c r="BA117">
        <f t="shared" si="17"/>
        <v>20736</v>
      </c>
      <c r="BB117" s="1">
        <f t="shared" si="18"/>
        <v>167.72596698186004</v>
      </c>
      <c r="BJ117">
        <v>1404</v>
      </c>
      <c r="BK117">
        <v>1</v>
      </c>
      <c r="BL117" t="str">
        <f t="shared" si="12"/>
        <v xml:space="preserve">N600C   </v>
      </c>
      <c r="BM117">
        <v>2</v>
      </c>
      <c r="BO117">
        <v>0</v>
      </c>
      <c r="BP117">
        <v>0</v>
      </c>
      <c r="BQ117">
        <v>0</v>
      </c>
      <c r="BR117">
        <v>3700</v>
      </c>
      <c r="BS117">
        <v>100</v>
      </c>
      <c r="BT117" t="s">
        <v>128</v>
      </c>
      <c r="BU117">
        <v>0</v>
      </c>
      <c r="BV117">
        <v>0</v>
      </c>
      <c r="BW117">
        <v>0</v>
      </c>
      <c r="BX117">
        <v>1</v>
      </c>
      <c r="CA117">
        <v>0</v>
      </c>
      <c r="CB117">
        <v>0</v>
      </c>
      <c r="CC117">
        <v>0</v>
      </c>
      <c r="CM117" t="str">
        <f>"17:42:09.352"</f>
        <v>17:42:09.352</v>
      </c>
      <c r="CN117">
        <v>352121253</v>
      </c>
      <c r="CQ117">
        <v>0</v>
      </c>
      <c r="CR117">
        <v>4000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2</v>
      </c>
      <c r="DC117">
        <v>0</v>
      </c>
      <c r="DD117">
        <v>2</v>
      </c>
      <c r="DE117">
        <v>0</v>
      </c>
      <c r="DF117">
        <v>7</v>
      </c>
      <c r="DG117">
        <v>7</v>
      </c>
      <c r="DH117" t="s">
        <v>124</v>
      </c>
      <c r="DI117">
        <v>71</v>
      </c>
      <c r="DJ117">
        <v>1</v>
      </c>
      <c r="DK117" t="s">
        <v>134</v>
      </c>
      <c r="DL117" t="s">
        <v>135</v>
      </c>
      <c r="DO117">
        <v>11310632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</row>
    <row r="118" spans="1:131" x14ac:dyDescent="0.35">
      <c r="A118" s="2" t="str">
        <f>"17:42:10.598"</f>
        <v>17:42:10.598</v>
      </c>
      <c r="B118" s="4">
        <f t="shared" si="19"/>
        <v>63730.597999999991</v>
      </c>
      <c r="C118" s="4">
        <f t="shared" si="13"/>
        <v>130.59799999999086</v>
      </c>
      <c r="D118" s="3">
        <f t="shared" si="14"/>
        <v>0.73762266203703697</v>
      </c>
      <c r="E118" s="2">
        <f t="shared" si="15"/>
        <v>0.73762266203703697</v>
      </c>
      <c r="G118" t="str">
        <f t="shared" si="10"/>
        <v>FFDFD7C0</v>
      </c>
      <c r="H118" t="s">
        <v>126</v>
      </c>
      <c r="I118">
        <v>8</v>
      </c>
      <c r="J118">
        <v>1008</v>
      </c>
      <c r="K118" t="s">
        <v>129</v>
      </c>
      <c r="N118" t="s">
        <v>127</v>
      </c>
      <c r="O118">
        <v>0</v>
      </c>
      <c r="P118">
        <v>3</v>
      </c>
      <c r="Q118">
        <v>0</v>
      </c>
      <c r="R118">
        <v>2</v>
      </c>
      <c r="S118">
        <v>1</v>
      </c>
      <c r="T118">
        <v>0</v>
      </c>
      <c r="U118">
        <v>0</v>
      </c>
      <c r="W118" t="str">
        <f>"17:42:10.367"</f>
        <v>17:42:10.367</v>
      </c>
      <c r="X118" t="str">
        <f>"17:42:10.367"</f>
        <v>17:42:10.367</v>
      </c>
      <c r="Y118" t="str">
        <f t="shared" si="11"/>
        <v>A7C771</v>
      </c>
      <c r="Z118">
        <v>0</v>
      </c>
      <c r="AA118">
        <v>0</v>
      </c>
      <c r="AB118">
        <v>2</v>
      </c>
      <c r="AC118">
        <v>0</v>
      </c>
      <c r="AE118">
        <v>0</v>
      </c>
      <c r="AF118">
        <v>8</v>
      </c>
      <c r="AG118">
        <v>3</v>
      </c>
      <c r="AH118">
        <v>0</v>
      </c>
      <c r="AI118">
        <v>9</v>
      </c>
      <c r="AJ118" t="s">
        <v>125</v>
      </c>
      <c r="AK118">
        <v>0</v>
      </c>
      <c r="AL118">
        <v>3</v>
      </c>
      <c r="AM118">
        <v>2</v>
      </c>
      <c r="AN118">
        <v>1</v>
      </c>
      <c r="AO118" t="s">
        <v>370</v>
      </c>
      <c r="AP118">
        <v>42.808785</v>
      </c>
      <c r="AQ118" t="s">
        <v>371</v>
      </c>
      <c r="AR118">
        <v>-77.666472999999996</v>
      </c>
      <c r="AS118">
        <v>25</v>
      </c>
      <c r="AT118">
        <v>3625</v>
      </c>
      <c r="AU118" t="s">
        <v>123</v>
      </c>
      <c r="AV118">
        <v>86</v>
      </c>
      <c r="AW118">
        <v>145</v>
      </c>
      <c r="AX118">
        <v>128</v>
      </c>
      <c r="AZ118">
        <f t="shared" si="16"/>
        <v>7396</v>
      </c>
      <c r="BA118">
        <f t="shared" si="17"/>
        <v>21025</v>
      </c>
      <c r="BB118" s="1">
        <f t="shared" si="18"/>
        <v>168.5852899869974</v>
      </c>
      <c r="BJ118">
        <v>1404</v>
      </c>
      <c r="BK118">
        <v>1</v>
      </c>
      <c r="BL118" t="str">
        <f t="shared" si="12"/>
        <v xml:space="preserve">N600C   </v>
      </c>
      <c r="BM118">
        <v>2</v>
      </c>
      <c r="BO118">
        <v>0</v>
      </c>
      <c r="BP118">
        <v>0</v>
      </c>
      <c r="BQ118">
        <v>0</v>
      </c>
      <c r="BR118">
        <v>3725</v>
      </c>
      <c r="BS118">
        <v>100</v>
      </c>
      <c r="BT118" t="s">
        <v>128</v>
      </c>
      <c r="BU118">
        <v>0</v>
      </c>
      <c r="BV118">
        <v>0</v>
      </c>
      <c r="BW118">
        <v>0</v>
      </c>
      <c r="BX118">
        <v>1</v>
      </c>
      <c r="CA118">
        <v>0</v>
      </c>
      <c r="CB118">
        <v>0</v>
      </c>
      <c r="CC118">
        <v>0</v>
      </c>
      <c r="CM118" t="str">
        <f>"17:42:10.368"</f>
        <v>17:42:10.368</v>
      </c>
      <c r="CN118">
        <v>368314683</v>
      </c>
      <c r="CQ118">
        <v>0</v>
      </c>
      <c r="CR118">
        <v>4000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2</v>
      </c>
      <c r="DC118">
        <v>0</v>
      </c>
      <c r="DD118">
        <v>2</v>
      </c>
      <c r="DE118">
        <v>0</v>
      </c>
      <c r="DF118">
        <v>7</v>
      </c>
      <c r="DG118">
        <v>7</v>
      </c>
      <c r="DH118" t="s">
        <v>124</v>
      </c>
      <c r="DI118">
        <v>71</v>
      </c>
      <c r="DJ118">
        <v>1</v>
      </c>
      <c r="DK118" t="s">
        <v>134</v>
      </c>
      <c r="DL118" t="s">
        <v>135</v>
      </c>
      <c r="DO118">
        <v>11311500</v>
      </c>
      <c r="DQ118">
        <v>0</v>
      </c>
      <c r="DR118">
        <v>0</v>
      </c>
      <c r="DS118">
        <v>1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</row>
    <row r="119" spans="1:131" x14ac:dyDescent="0.35">
      <c r="A119" s="2" t="str">
        <f>"17:42:11.786"</f>
        <v>17:42:11.786</v>
      </c>
      <c r="B119" s="4">
        <f t="shared" si="19"/>
        <v>63731.786</v>
      </c>
      <c r="C119" s="4">
        <f t="shared" si="13"/>
        <v>131.78600000000006</v>
      </c>
      <c r="D119" s="3">
        <f t="shared" si="14"/>
        <v>0.737636412037037</v>
      </c>
      <c r="E119" s="2">
        <f t="shared" si="15"/>
        <v>0.737636412037037</v>
      </c>
      <c r="G119" t="str">
        <f t="shared" si="10"/>
        <v>FFDFD7C0</v>
      </c>
      <c r="H119" t="s">
        <v>126</v>
      </c>
      <c r="I119">
        <v>8</v>
      </c>
      <c r="J119">
        <v>1008</v>
      </c>
      <c r="K119" t="s">
        <v>129</v>
      </c>
      <c r="N119" t="s">
        <v>127</v>
      </c>
      <c r="O119">
        <v>0</v>
      </c>
      <c r="P119">
        <v>3</v>
      </c>
      <c r="Q119">
        <v>0</v>
      </c>
      <c r="R119">
        <v>2</v>
      </c>
      <c r="S119">
        <v>1</v>
      </c>
      <c r="T119">
        <v>0</v>
      </c>
      <c r="U119">
        <v>0</v>
      </c>
      <c r="W119" t="str">
        <f>"17:42:11.406"</f>
        <v>17:42:11.406</v>
      </c>
      <c r="X119" t="str">
        <f>"17:42:11.406"</f>
        <v>17:42:11.406</v>
      </c>
      <c r="Y119" t="str">
        <f t="shared" si="11"/>
        <v>A7C771</v>
      </c>
      <c r="Z119">
        <v>0</v>
      </c>
      <c r="AA119">
        <v>0</v>
      </c>
      <c r="AB119">
        <v>2</v>
      </c>
      <c r="AC119">
        <v>0</v>
      </c>
      <c r="AE119">
        <v>0</v>
      </c>
      <c r="AF119">
        <v>8</v>
      </c>
      <c r="AG119">
        <v>3</v>
      </c>
      <c r="AH119">
        <v>0</v>
      </c>
      <c r="AI119">
        <v>9</v>
      </c>
      <c r="AJ119" t="s">
        <v>125</v>
      </c>
      <c r="AK119">
        <v>0</v>
      </c>
      <c r="AL119">
        <v>3</v>
      </c>
      <c r="AM119">
        <v>2</v>
      </c>
      <c r="AN119">
        <v>1</v>
      </c>
      <c r="AO119" t="s">
        <v>372</v>
      </c>
      <c r="AP119">
        <v>42.809407999999998</v>
      </c>
      <c r="AQ119" t="s">
        <v>373</v>
      </c>
      <c r="AR119">
        <v>-77.665937</v>
      </c>
      <c r="AS119">
        <v>25</v>
      </c>
      <c r="AT119">
        <v>3600</v>
      </c>
      <c r="AU119" t="s">
        <v>123</v>
      </c>
      <c r="AV119">
        <v>87</v>
      </c>
      <c r="AW119">
        <v>145</v>
      </c>
      <c r="AX119">
        <v>64</v>
      </c>
      <c r="AZ119">
        <f t="shared" si="16"/>
        <v>7569</v>
      </c>
      <c r="BA119">
        <f t="shared" si="17"/>
        <v>21025</v>
      </c>
      <c r="BB119" s="1">
        <f t="shared" si="18"/>
        <v>169.09760495051373</v>
      </c>
      <c r="BJ119">
        <v>1404</v>
      </c>
      <c r="BK119">
        <v>1</v>
      </c>
      <c r="BL119" t="str">
        <f t="shared" si="12"/>
        <v xml:space="preserve">N600C   </v>
      </c>
      <c r="BM119">
        <v>2</v>
      </c>
      <c r="BO119">
        <v>0</v>
      </c>
      <c r="BP119">
        <v>0</v>
      </c>
      <c r="BQ119">
        <v>0</v>
      </c>
      <c r="BR119">
        <v>3725</v>
      </c>
      <c r="BS119">
        <v>125</v>
      </c>
      <c r="BT119" t="s">
        <v>128</v>
      </c>
      <c r="BU119">
        <v>0</v>
      </c>
      <c r="BV119">
        <v>0</v>
      </c>
      <c r="BW119">
        <v>0</v>
      </c>
      <c r="BX119">
        <v>1</v>
      </c>
      <c r="CA119">
        <v>0</v>
      </c>
      <c r="CB119">
        <v>0</v>
      </c>
      <c r="CC119">
        <v>0</v>
      </c>
      <c r="CM119" t="str">
        <f>"17:42:11.408"</f>
        <v>17:42:11.408</v>
      </c>
      <c r="CN119">
        <v>408499128</v>
      </c>
      <c r="CQ119">
        <v>0</v>
      </c>
      <c r="CR119">
        <v>4000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2</v>
      </c>
      <c r="DC119">
        <v>0</v>
      </c>
      <c r="DD119">
        <v>2</v>
      </c>
      <c r="DE119">
        <v>0</v>
      </c>
      <c r="DF119">
        <v>7</v>
      </c>
      <c r="DG119">
        <v>7</v>
      </c>
      <c r="DH119" t="s">
        <v>124</v>
      </c>
      <c r="DI119">
        <v>71</v>
      </c>
      <c r="DJ119">
        <v>1</v>
      </c>
      <c r="DK119" t="s">
        <v>134</v>
      </c>
      <c r="DL119" t="s">
        <v>135</v>
      </c>
      <c r="DO119">
        <v>11312458</v>
      </c>
      <c r="DQ119">
        <v>0</v>
      </c>
      <c r="DR119">
        <v>0</v>
      </c>
      <c r="DS119">
        <v>1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</row>
    <row r="120" spans="1:131" x14ac:dyDescent="0.35">
      <c r="A120" s="2" t="str">
        <f>"17:42:12.614"</f>
        <v>17:42:12.614</v>
      </c>
      <c r="B120" s="4">
        <f t="shared" si="19"/>
        <v>63732.613999999994</v>
      </c>
      <c r="C120" s="4">
        <f t="shared" si="13"/>
        <v>132.61399999999412</v>
      </c>
      <c r="D120" s="3">
        <f t="shared" si="14"/>
        <v>0.73764599537037034</v>
      </c>
      <c r="E120" s="2">
        <f t="shared" si="15"/>
        <v>0.73764599537037034</v>
      </c>
      <c r="G120" t="str">
        <f t="shared" si="10"/>
        <v>FFDFD7C0</v>
      </c>
      <c r="H120" t="s">
        <v>126</v>
      </c>
      <c r="I120">
        <v>8</v>
      </c>
      <c r="J120">
        <v>1008</v>
      </c>
      <c r="K120" t="s">
        <v>129</v>
      </c>
      <c r="N120" t="s">
        <v>127</v>
      </c>
      <c r="O120">
        <v>0</v>
      </c>
      <c r="P120">
        <v>3</v>
      </c>
      <c r="Q120">
        <v>0</v>
      </c>
      <c r="R120">
        <v>2</v>
      </c>
      <c r="S120">
        <v>1</v>
      </c>
      <c r="T120">
        <v>0</v>
      </c>
      <c r="U120">
        <v>0</v>
      </c>
      <c r="W120" t="str">
        <f>"17:42:12.352"</f>
        <v>17:42:12.352</v>
      </c>
      <c r="X120" t="str">
        <f>"17:42:11.952"</f>
        <v>17:42:11.952</v>
      </c>
      <c r="Y120" t="str">
        <f t="shared" si="11"/>
        <v>A7C771</v>
      </c>
      <c r="Z120">
        <v>0</v>
      </c>
      <c r="AA120">
        <v>0</v>
      </c>
      <c r="AB120">
        <v>2</v>
      </c>
      <c r="AC120">
        <v>0</v>
      </c>
      <c r="AE120">
        <v>0</v>
      </c>
      <c r="AF120">
        <v>8</v>
      </c>
      <c r="AG120">
        <v>3</v>
      </c>
      <c r="AH120">
        <v>0</v>
      </c>
      <c r="AI120">
        <v>9</v>
      </c>
      <c r="AJ120" t="s">
        <v>125</v>
      </c>
      <c r="AK120">
        <v>0</v>
      </c>
      <c r="AL120">
        <v>3</v>
      </c>
      <c r="AM120">
        <v>2</v>
      </c>
      <c r="AN120">
        <v>1</v>
      </c>
      <c r="AO120" t="s">
        <v>374</v>
      </c>
      <c r="AP120">
        <v>42.810093999999999</v>
      </c>
      <c r="AQ120" t="s">
        <v>375</v>
      </c>
      <c r="AR120">
        <v>-77.665357999999998</v>
      </c>
      <c r="AS120">
        <v>25</v>
      </c>
      <c r="AT120">
        <v>3600</v>
      </c>
      <c r="AU120" t="s">
        <v>123</v>
      </c>
      <c r="AV120">
        <v>87</v>
      </c>
      <c r="AW120">
        <v>145</v>
      </c>
      <c r="AX120">
        <v>0</v>
      </c>
      <c r="AZ120">
        <f t="shared" si="16"/>
        <v>7569</v>
      </c>
      <c r="BA120">
        <f t="shared" si="17"/>
        <v>21025</v>
      </c>
      <c r="BB120" s="1">
        <f t="shared" si="18"/>
        <v>169.09760495051373</v>
      </c>
      <c r="BJ120">
        <v>1404</v>
      </c>
      <c r="BK120">
        <v>1</v>
      </c>
      <c r="BL120" t="str">
        <f t="shared" si="12"/>
        <v xml:space="preserve">N600C   </v>
      </c>
      <c r="BM120">
        <v>2</v>
      </c>
      <c r="BO120">
        <v>0</v>
      </c>
      <c r="BP120">
        <v>0</v>
      </c>
      <c r="BQ120">
        <v>0</v>
      </c>
      <c r="BR120">
        <v>3700</v>
      </c>
      <c r="BS120">
        <v>100</v>
      </c>
      <c r="BT120" t="s">
        <v>128</v>
      </c>
      <c r="BU120">
        <v>0</v>
      </c>
      <c r="BV120">
        <v>0</v>
      </c>
      <c r="BW120">
        <v>0</v>
      </c>
      <c r="BX120">
        <v>1</v>
      </c>
      <c r="CA120">
        <v>0</v>
      </c>
      <c r="CB120">
        <v>0</v>
      </c>
      <c r="CC120">
        <v>0</v>
      </c>
      <c r="CM120" t="str">
        <f>"17:42:12.353"</f>
        <v>17:42:12.353</v>
      </c>
      <c r="CN120">
        <v>352674756</v>
      </c>
      <c r="CQ120">
        <v>0</v>
      </c>
      <c r="CR120">
        <v>4000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2</v>
      </c>
      <c r="DC120">
        <v>0</v>
      </c>
      <c r="DD120">
        <v>2</v>
      </c>
      <c r="DE120">
        <v>0</v>
      </c>
      <c r="DF120">
        <v>7</v>
      </c>
      <c r="DG120">
        <v>7</v>
      </c>
      <c r="DH120" t="s">
        <v>124</v>
      </c>
      <c r="DI120">
        <v>71</v>
      </c>
      <c r="DJ120">
        <v>1</v>
      </c>
      <c r="DK120" t="s">
        <v>134</v>
      </c>
      <c r="DL120" t="s">
        <v>135</v>
      </c>
      <c r="DO120">
        <v>11313263</v>
      </c>
      <c r="DQ120">
        <v>0</v>
      </c>
      <c r="DR120">
        <v>0</v>
      </c>
      <c r="DS120">
        <v>1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</row>
    <row r="121" spans="1:131" x14ac:dyDescent="0.35">
      <c r="A121" s="2" t="str">
        <f>"17:42:13.537"</f>
        <v>17:42:13.537</v>
      </c>
      <c r="B121" s="4">
        <f t="shared" si="19"/>
        <v>63733.536999999997</v>
      </c>
      <c r="C121" s="4">
        <f t="shared" si="13"/>
        <v>133.53699999999662</v>
      </c>
      <c r="D121" s="3">
        <f t="shared" si="14"/>
        <v>0.73765667824074066</v>
      </c>
      <c r="E121" s="2">
        <f t="shared" si="15"/>
        <v>0.73765667824074066</v>
      </c>
      <c r="G121" t="str">
        <f t="shared" si="10"/>
        <v>FFDFD7C0</v>
      </c>
      <c r="H121" t="s">
        <v>126</v>
      </c>
      <c r="I121">
        <v>8</v>
      </c>
      <c r="J121">
        <v>1008</v>
      </c>
      <c r="K121" t="s">
        <v>129</v>
      </c>
      <c r="N121" t="s">
        <v>127</v>
      </c>
      <c r="O121">
        <v>0</v>
      </c>
      <c r="P121">
        <v>3</v>
      </c>
      <c r="Q121">
        <v>0</v>
      </c>
      <c r="R121">
        <v>2</v>
      </c>
      <c r="S121">
        <v>1</v>
      </c>
      <c r="T121">
        <v>0</v>
      </c>
      <c r="U121">
        <v>0</v>
      </c>
      <c r="W121" t="str">
        <f>"17:42:13.336"</f>
        <v>17:42:13.336</v>
      </c>
      <c r="X121" t="str">
        <f>"17:42:12.936"</f>
        <v>17:42:12.936</v>
      </c>
      <c r="Y121" t="str">
        <f t="shared" si="11"/>
        <v>A7C771</v>
      </c>
      <c r="Z121">
        <v>0</v>
      </c>
      <c r="AA121">
        <v>0</v>
      </c>
      <c r="AB121">
        <v>2</v>
      </c>
      <c r="AC121">
        <v>0</v>
      </c>
      <c r="AE121">
        <v>0</v>
      </c>
      <c r="AF121">
        <v>8</v>
      </c>
      <c r="AG121">
        <v>3</v>
      </c>
      <c r="AH121">
        <v>0</v>
      </c>
      <c r="AI121">
        <v>9</v>
      </c>
      <c r="AJ121" t="s">
        <v>125</v>
      </c>
      <c r="AK121">
        <v>0</v>
      </c>
      <c r="AL121">
        <v>3</v>
      </c>
      <c r="AM121">
        <v>2</v>
      </c>
      <c r="AN121">
        <v>1</v>
      </c>
      <c r="AO121" t="s">
        <v>376</v>
      </c>
      <c r="AP121">
        <v>42.810780999999999</v>
      </c>
      <c r="AQ121" t="s">
        <v>377</v>
      </c>
      <c r="AR121">
        <v>-77.664843000000005</v>
      </c>
      <c r="AS121">
        <v>25</v>
      </c>
      <c r="AT121">
        <v>3600</v>
      </c>
      <c r="AU121" t="s">
        <v>123</v>
      </c>
      <c r="AV121">
        <v>87</v>
      </c>
      <c r="AW121">
        <v>146</v>
      </c>
      <c r="AX121">
        <v>-64</v>
      </c>
      <c r="AZ121">
        <f t="shared" si="16"/>
        <v>7569</v>
      </c>
      <c r="BA121">
        <f t="shared" si="17"/>
        <v>21316</v>
      </c>
      <c r="BB121" s="1">
        <f t="shared" si="18"/>
        <v>169.95587662684687</v>
      </c>
      <c r="BJ121">
        <v>1404</v>
      </c>
      <c r="BK121">
        <v>1</v>
      </c>
      <c r="BL121" t="str">
        <f t="shared" si="12"/>
        <v xml:space="preserve">N600C   </v>
      </c>
      <c r="BM121">
        <v>2</v>
      </c>
      <c r="BO121">
        <v>0</v>
      </c>
      <c r="BP121">
        <v>0</v>
      </c>
      <c r="BQ121">
        <v>0</v>
      </c>
      <c r="BR121">
        <v>3700</v>
      </c>
      <c r="BS121">
        <v>100</v>
      </c>
      <c r="BT121" t="s">
        <v>128</v>
      </c>
      <c r="BU121">
        <v>0</v>
      </c>
      <c r="BV121">
        <v>0</v>
      </c>
      <c r="BW121">
        <v>0</v>
      </c>
      <c r="BX121">
        <v>1</v>
      </c>
      <c r="CA121">
        <v>0</v>
      </c>
      <c r="CB121">
        <v>0</v>
      </c>
      <c r="CC121">
        <v>0</v>
      </c>
      <c r="CM121" t="str">
        <f>"17:42:13.337"</f>
        <v>17:42:13.337</v>
      </c>
      <c r="CN121">
        <v>336859447</v>
      </c>
      <c r="CQ121">
        <v>0</v>
      </c>
      <c r="CR121">
        <v>4000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2</v>
      </c>
      <c r="DC121">
        <v>0</v>
      </c>
      <c r="DD121">
        <v>2</v>
      </c>
      <c r="DE121">
        <v>0</v>
      </c>
      <c r="DF121">
        <v>7</v>
      </c>
      <c r="DG121">
        <v>7</v>
      </c>
      <c r="DH121" t="s">
        <v>124</v>
      </c>
      <c r="DI121">
        <v>71</v>
      </c>
      <c r="DJ121">
        <v>1</v>
      </c>
      <c r="DK121" t="s">
        <v>134</v>
      </c>
      <c r="DL121" t="s">
        <v>135</v>
      </c>
      <c r="DO121">
        <v>11314155</v>
      </c>
      <c r="DQ121">
        <v>0</v>
      </c>
      <c r="DR121">
        <v>0</v>
      </c>
      <c r="DS121">
        <v>1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</row>
    <row r="122" spans="1:131" x14ac:dyDescent="0.35">
      <c r="A122" s="2" t="str">
        <f>"17:42:14.646"</f>
        <v>17:42:14.646</v>
      </c>
      <c r="B122" s="4">
        <f t="shared" si="19"/>
        <v>63734.646000000001</v>
      </c>
      <c r="C122" s="4">
        <f t="shared" si="13"/>
        <v>134.64600000000064</v>
      </c>
      <c r="D122" s="3">
        <f t="shared" si="14"/>
        <v>0.73766951388888891</v>
      </c>
      <c r="E122" s="2">
        <f t="shared" si="15"/>
        <v>0.73766951388888891</v>
      </c>
      <c r="G122" t="str">
        <f t="shared" si="10"/>
        <v>FFDFD7C0</v>
      </c>
      <c r="H122" t="s">
        <v>126</v>
      </c>
      <c r="I122">
        <v>8</v>
      </c>
      <c r="J122">
        <v>1008</v>
      </c>
      <c r="K122" t="s">
        <v>129</v>
      </c>
      <c r="N122" t="s">
        <v>127</v>
      </c>
      <c r="O122">
        <v>0</v>
      </c>
      <c r="P122">
        <v>3</v>
      </c>
      <c r="Q122">
        <v>0</v>
      </c>
      <c r="R122">
        <v>2</v>
      </c>
      <c r="S122">
        <v>1</v>
      </c>
      <c r="T122">
        <v>0</v>
      </c>
      <c r="U122">
        <v>0</v>
      </c>
      <c r="W122" t="str">
        <f>"17:42:14.406"</f>
        <v>17:42:14.406</v>
      </c>
      <c r="X122" t="str">
        <f>"17:42:14.306"</f>
        <v>17:42:14.306</v>
      </c>
      <c r="Y122" t="str">
        <f t="shared" si="11"/>
        <v>A7C771</v>
      </c>
      <c r="Z122">
        <v>0</v>
      </c>
      <c r="AA122">
        <v>0</v>
      </c>
      <c r="AB122">
        <v>2</v>
      </c>
      <c r="AC122">
        <v>0</v>
      </c>
      <c r="AE122">
        <v>0</v>
      </c>
      <c r="AF122">
        <v>8</v>
      </c>
      <c r="AG122">
        <v>3</v>
      </c>
      <c r="AH122">
        <v>0</v>
      </c>
      <c r="AI122">
        <v>9</v>
      </c>
      <c r="AJ122" t="s">
        <v>125</v>
      </c>
      <c r="AK122">
        <v>0</v>
      </c>
      <c r="AL122">
        <v>3</v>
      </c>
      <c r="AM122">
        <v>2</v>
      </c>
      <c r="AN122">
        <v>1</v>
      </c>
      <c r="AO122" t="s">
        <v>378</v>
      </c>
      <c r="AP122">
        <v>42.811467999999998</v>
      </c>
      <c r="AQ122" t="s">
        <v>379</v>
      </c>
      <c r="AR122">
        <v>-77.664263000000005</v>
      </c>
      <c r="AS122">
        <v>25</v>
      </c>
      <c r="AT122">
        <v>3600</v>
      </c>
      <c r="AU122" t="s">
        <v>123</v>
      </c>
      <c r="AV122">
        <v>88</v>
      </c>
      <c r="AW122">
        <v>147</v>
      </c>
      <c r="AX122">
        <v>-128</v>
      </c>
      <c r="AZ122">
        <f t="shared" si="16"/>
        <v>7744</v>
      </c>
      <c r="BA122">
        <f t="shared" si="17"/>
        <v>21609</v>
      </c>
      <c r="BB122" s="1">
        <f t="shared" si="18"/>
        <v>171.32717239247253</v>
      </c>
      <c r="BJ122">
        <v>1404</v>
      </c>
      <c r="BK122">
        <v>1</v>
      </c>
      <c r="BL122" t="str">
        <f t="shared" si="12"/>
        <v xml:space="preserve">N600C   </v>
      </c>
      <c r="BM122">
        <v>2</v>
      </c>
      <c r="BO122">
        <v>0</v>
      </c>
      <c r="BP122">
        <v>0</v>
      </c>
      <c r="BQ122">
        <v>0</v>
      </c>
      <c r="BR122">
        <v>3700</v>
      </c>
      <c r="BS122">
        <v>100</v>
      </c>
      <c r="BT122" t="s">
        <v>128</v>
      </c>
      <c r="BU122">
        <v>0</v>
      </c>
      <c r="BV122">
        <v>0</v>
      </c>
      <c r="BW122">
        <v>0</v>
      </c>
      <c r="BX122">
        <v>1</v>
      </c>
      <c r="CA122">
        <v>0</v>
      </c>
      <c r="CB122">
        <v>0</v>
      </c>
      <c r="CC122">
        <v>0</v>
      </c>
      <c r="CM122" t="str">
        <f>"17:42:14.409"</f>
        <v>17:42:14.409</v>
      </c>
      <c r="CN122">
        <v>409122043</v>
      </c>
      <c r="CQ122">
        <v>0</v>
      </c>
      <c r="CR122">
        <v>4000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2</v>
      </c>
      <c r="DC122">
        <v>0</v>
      </c>
      <c r="DD122">
        <v>2</v>
      </c>
      <c r="DE122">
        <v>0</v>
      </c>
      <c r="DF122">
        <v>7</v>
      </c>
      <c r="DG122">
        <v>7</v>
      </c>
      <c r="DH122" t="s">
        <v>124</v>
      </c>
      <c r="DI122">
        <v>407</v>
      </c>
      <c r="DJ122">
        <v>3</v>
      </c>
      <c r="DK122" t="s">
        <v>132</v>
      </c>
      <c r="DL122" t="s">
        <v>133</v>
      </c>
      <c r="DO122">
        <v>1348609</v>
      </c>
      <c r="DQ122">
        <v>0</v>
      </c>
      <c r="DR122">
        <v>0</v>
      </c>
      <c r="DS122">
        <v>1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</row>
    <row r="123" spans="1:131" x14ac:dyDescent="0.35">
      <c r="A123" s="2" t="str">
        <f>"17:42:15.615"</f>
        <v>17:42:15.615</v>
      </c>
      <c r="B123" s="4">
        <f t="shared" si="19"/>
        <v>63735.614999999998</v>
      </c>
      <c r="C123" s="4">
        <f t="shared" si="13"/>
        <v>135.61499999999796</v>
      </c>
      <c r="D123" s="3">
        <f t="shared" si="14"/>
        <v>0.7376807291666666</v>
      </c>
      <c r="E123" s="2">
        <f t="shared" si="15"/>
        <v>0.7376807291666666</v>
      </c>
      <c r="G123" t="str">
        <f t="shared" si="10"/>
        <v>FFDFD7C0</v>
      </c>
      <c r="H123" t="s">
        <v>126</v>
      </c>
      <c r="I123">
        <v>8</v>
      </c>
      <c r="J123">
        <v>1008</v>
      </c>
      <c r="K123" t="s">
        <v>129</v>
      </c>
      <c r="N123" t="s">
        <v>127</v>
      </c>
      <c r="O123">
        <v>0</v>
      </c>
      <c r="P123">
        <v>3</v>
      </c>
      <c r="Q123">
        <v>0</v>
      </c>
      <c r="R123">
        <v>2</v>
      </c>
      <c r="S123">
        <v>1</v>
      </c>
      <c r="T123">
        <v>0</v>
      </c>
      <c r="U123">
        <v>0</v>
      </c>
      <c r="W123" t="str">
        <f>"17:42:15.414"</f>
        <v>17:42:15.414</v>
      </c>
      <c r="X123" t="str">
        <f>"17:42:15.314"</f>
        <v>17:42:15.314</v>
      </c>
      <c r="Y123" t="str">
        <f t="shared" si="11"/>
        <v>A7C771</v>
      </c>
      <c r="Z123">
        <v>0</v>
      </c>
      <c r="AA123">
        <v>0</v>
      </c>
      <c r="AB123">
        <v>2</v>
      </c>
      <c r="AC123">
        <v>0</v>
      </c>
      <c r="AE123">
        <v>0</v>
      </c>
      <c r="AF123">
        <v>8</v>
      </c>
      <c r="AG123">
        <v>3</v>
      </c>
      <c r="AH123">
        <v>0</v>
      </c>
      <c r="AI123">
        <v>9</v>
      </c>
      <c r="AJ123" t="s">
        <v>125</v>
      </c>
      <c r="AK123">
        <v>0</v>
      </c>
      <c r="AL123">
        <v>3</v>
      </c>
      <c r="AM123">
        <v>2</v>
      </c>
      <c r="AN123">
        <v>1</v>
      </c>
      <c r="AO123" t="s">
        <v>380</v>
      </c>
      <c r="AP123">
        <v>42.812154</v>
      </c>
      <c r="AQ123" t="s">
        <v>381</v>
      </c>
      <c r="AR123">
        <v>-77.663704999999993</v>
      </c>
      <c r="AS123">
        <v>25</v>
      </c>
      <c r="AT123">
        <v>3600</v>
      </c>
      <c r="AU123" t="s">
        <v>123</v>
      </c>
      <c r="AV123">
        <v>88</v>
      </c>
      <c r="AW123">
        <v>147</v>
      </c>
      <c r="AX123">
        <v>-128</v>
      </c>
      <c r="AZ123">
        <f t="shared" si="16"/>
        <v>7744</v>
      </c>
      <c r="BA123">
        <f t="shared" si="17"/>
        <v>21609</v>
      </c>
      <c r="BB123" s="1">
        <f t="shared" si="18"/>
        <v>171.32717239247253</v>
      </c>
      <c r="BJ123">
        <v>1404</v>
      </c>
      <c r="BK123">
        <v>1</v>
      </c>
      <c r="BL123" t="str">
        <f t="shared" si="12"/>
        <v xml:space="preserve">N600C   </v>
      </c>
      <c r="BM123">
        <v>2</v>
      </c>
      <c r="BO123">
        <v>0</v>
      </c>
      <c r="BP123">
        <v>0</v>
      </c>
      <c r="BQ123">
        <v>0</v>
      </c>
      <c r="BR123">
        <v>3700</v>
      </c>
      <c r="BS123">
        <v>100</v>
      </c>
      <c r="BT123" t="s">
        <v>128</v>
      </c>
      <c r="BU123">
        <v>0</v>
      </c>
      <c r="BV123">
        <v>0</v>
      </c>
      <c r="BW123">
        <v>0</v>
      </c>
      <c r="BX123">
        <v>1</v>
      </c>
      <c r="CA123">
        <v>0</v>
      </c>
      <c r="CB123">
        <v>0</v>
      </c>
      <c r="CC123">
        <v>0</v>
      </c>
      <c r="CM123" t="str">
        <f>"17:42:15.417"</f>
        <v>17:42:15.417</v>
      </c>
      <c r="CN123">
        <v>417314888</v>
      </c>
      <c r="CQ123">
        <v>0</v>
      </c>
      <c r="CR123">
        <v>4000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2</v>
      </c>
      <c r="DC123">
        <v>0</v>
      </c>
      <c r="DD123">
        <v>2</v>
      </c>
      <c r="DE123">
        <v>0</v>
      </c>
      <c r="DF123">
        <v>7</v>
      </c>
      <c r="DG123">
        <v>7</v>
      </c>
      <c r="DH123" t="s">
        <v>124</v>
      </c>
      <c r="DI123">
        <v>407</v>
      </c>
      <c r="DJ123">
        <v>3</v>
      </c>
      <c r="DK123" t="s">
        <v>132</v>
      </c>
      <c r="DL123" t="s">
        <v>133</v>
      </c>
      <c r="DO123">
        <v>1349540</v>
      </c>
      <c r="DQ123">
        <v>0</v>
      </c>
      <c r="DR123">
        <v>0</v>
      </c>
      <c r="DS123">
        <v>1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</row>
    <row r="124" spans="1:131" x14ac:dyDescent="0.35">
      <c r="A124" s="2" t="str">
        <f>"17:42:16.553"</f>
        <v>17:42:16.553</v>
      </c>
      <c r="B124" s="4">
        <f t="shared" si="19"/>
        <v>63736.553</v>
      </c>
      <c r="C124" s="4">
        <f t="shared" si="13"/>
        <v>136.55299999999988</v>
      </c>
      <c r="D124" s="3">
        <f t="shared" si="14"/>
        <v>0.73769158564814818</v>
      </c>
      <c r="E124" s="2">
        <f t="shared" si="15"/>
        <v>0.73769158564814818</v>
      </c>
      <c r="G124" t="str">
        <f t="shared" si="10"/>
        <v>FFDFD7C0</v>
      </c>
      <c r="H124" t="s">
        <v>126</v>
      </c>
      <c r="I124">
        <v>8</v>
      </c>
      <c r="J124">
        <v>1008</v>
      </c>
      <c r="K124" t="s">
        <v>129</v>
      </c>
      <c r="N124" t="s">
        <v>127</v>
      </c>
      <c r="O124">
        <v>0</v>
      </c>
      <c r="P124">
        <v>3</v>
      </c>
      <c r="Q124">
        <v>0</v>
      </c>
      <c r="R124">
        <v>2</v>
      </c>
      <c r="S124">
        <v>1</v>
      </c>
      <c r="T124">
        <v>0</v>
      </c>
      <c r="U124">
        <v>0</v>
      </c>
      <c r="W124" t="str">
        <f>"17:42:16.359"</f>
        <v>17:42:16.359</v>
      </c>
      <c r="X124" t="str">
        <f>"17:42:15.859"</f>
        <v>17:42:15.859</v>
      </c>
      <c r="Y124" t="str">
        <f t="shared" si="11"/>
        <v>A7C771</v>
      </c>
      <c r="Z124">
        <v>0</v>
      </c>
      <c r="AA124">
        <v>0</v>
      </c>
      <c r="AB124">
        <v>2</v>
      </c>
      <c r="AC124">
        <v>0</v>
      </c>
      <c r="AE124">
        <v>0</v>
      </c>
      <c r="AF124">
        <v>8</v>
      </c>
      <c r="AG124">
        <v>3</v>
      </c>
      <c r="AH124">
        <v>0</v>
      </c>
      <c r="AI124">
        <v>9</v>
      </c>
      <c r="AJ124" t="s">
        <v>125</v>
      </c>
      <c r="AK124">
        <v>0</v>
      </c>
      <c r="AL124">
        <v>3</v>
      </c>
      <c r="AM124">
        <v>2</v>
      </c>
      <c r="AN124">
        <v>1</v>
      </c>
      <c r="AO124" t="s">
        <v>382</v>
      </c>
      <c r="AP124">
        <v>42.812840999999999</v>
      </c>
      <c r="AQ124" t="s">
        <v>383</v>
      </c>
      <c r="AR124">
        <v>-77.663126000000005</v>
      </c>
      <c r="AS124">
        <v>25</v>
      </c>
      <c r="AT124">
        <v>3600</v>
      </c>
      <c r="AU124" t="s">
        <v>123</v>
      </c>
      <c r="AV124">
        <v>89</v>
      </c>
      <c r="AW124">
        <v>148</v>
      </c>
      <c r="AX124">
        <v>-64</v>
      </c>
      <c r="AZ124">
        <f t="shared" si="16"/>
        <v>7921</v>
      </c>
      <c r="BA124">
        <f t="shared" si="17"/>
        <v>21904</v>
      </c>
      <c r="BB124" s="1">
        <f t="shared" si="18"/>
        <v>172.69916039170545</v>
      </c>
      <c r="BJ124">
        <v>1404</v>
      </c>
      <c r="BK124">
        <v>1</v>
      </c>
      <c r="BL124" t="str">
        <f t="shared" si="12"/>
        <v xml:space="preserve">N600C   </v>
      </c>
      <c r="BM124">
        <v>2</v>
      </c>
      <c r="BO124">
        <v>0</v>
      </c>
      <c r="BP124">
        <v>0</v>
      </c>
      <c r="BQ124">
        <v>0</v>
      </c>
      <c r="BR124">
        <v>3700</v>
      </c>
      <c r="BS124">
        <v>100</v>
      </c>
      <c r="BT124" t="s">
        <v>128</v>
      </c>
      <c r="BU124">
        <v>0</v>
      </c>
      <c r="BV124">
        <v>0</v>
      </c>
      <c r="BW124">
        <v>0</v>
      </c>
      <c r="BX124">
        <v>1</v>
      </c>
      <c r="CA124">
        <v>0</v>
      </c>
      <c r="CB124">
        <v>0</v>
      </c>
      <c r="CC124">
        <v>0</v>
      </c>
      <c r="CM124" t="str">
        <f>"17:42:16.361"</f>
        <v>17:42:16.361</v>
      </c>
      <c r="CN124">
        <v>361481317</v>
      </c>
      <c r="CQ124">
        <v>0</v>
      </c>
      <c r="CR124">
        <v>4000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2</v>
      </c>
      <c r="DC124">
        <v>0</v>
      </c>
      <c r="DD124">
        <v>2</v>
      </c>
      <c r="DE124">
        <v>0</v>
      </c>
      <c r="DF124">
        <v>6</v>
      </c>
      <c r="DG124">
        <v>7</v>
      </c>
      <c r="DH124" t="s">
        <v>124</v>
      </c>
      <c r="DI124">
        <v>407</v>
      </c>
      <c r="DJ124">
        <v>2</v>
      </c>
      <c r="DK124" t="s">
        <v>132</v>
      </c>
      <c r="DL124" t="s">
        <v>133</v>
      </c>
      <c r="DO124">
        <v>815556</v>
      </c>
      <c r="DQ124">
        <v>0</v>
      </c>
      <c r="DR124">
        <v>0</v>
      </c>
      <c r="DS124">
        <v>1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</row>
    <row r="125" spans="1:131" x14ac:dyDescent="0.35">
      <c r="A125" s="2" t="str">
        <f>"17:42:17.522"</f>
        <v>17:42:17.522</v>
      </c>
      <c r="B125" s="4">
        <f t="shared" si="19"/>
        <v>63737.521999999997</v>
      </c>
      <c r="C125" s="4">
        <f t="shared" si="13"/>
        <v>137.52199999999721</v>
      </c>
      <c r="D125" s="3">
        <f t="shared" si="14"/>
        <v>0.73770280092592588</v>
      </c>
      <c r="E125" s="2">
        <f t="shared" si="15"/>
        <v>0.73770280092592588</v>
      </c>
      <c r="G125" t="str">
        <f t="shared" si="10"/>
        <v>FFDFD7C0</v>
      </c>
      <c r="H125" t="s">
        <v>126</v>
      </c>
      <c r="I125">
        <v>8</v>
      </c>
      <c r="J125">
        <v>1008</v>
      </c>
      <c r="K125" t="s">
        <v>129</v>
      </c>
      <c r="N125" t="s">
        <v>127</v>
      </c>
      <c r="O125">
        <v>0</v>
      </c>
      <c r="P125">
        <v>3</v>
      </c>
      <c r="Q125">
        <v>0</v>
      </c>
      <c r="R125">
        <v>2</v>
      </c>
      <c r="S125">
        <v>1</v>
      </c>
      <c r="T125">
        <v>0</v>
      </c>
      <c r="U125">
        <v>0</v>
      </c>
      <c r="W125" t="str">
        <f>"17:42:17.211"</f>
        <v>17:42:17.211</v>
      </c>
      <c r="X125" t="str">
        <f>"17:42:16.811"</f>
        <v>17:42:16.811</v>
      </c>
      <c r="Y125" t="str">
        <f t="shared" si="11"/>
        <v>A7C771</v>
      </c>
      <c r="Z125">
        <v>0</v>
      </c>
      <c r="AA125">
        <v>0</v>
      </c>
      <c r="AB125">
        <v>2</v>
      </c>
      <c r="AC125">
        <v>0</v>
      </c>
      <c r="AE125">
        <v>0</v>
      </c>
      <c r="AF125">
        <v>8</v>
      </c>
      <c r="AG125">
        <v>3</v>
      </c>
      <c r="AH125">
        <v>0</v>
      </c>
      <c r="AI125">
        <v>9</v>
      </c>
      <c r="AJ125" t="s">
        <v>125</v>
      </c>
      <c r="AK125">
        <v>0</v>
      </c>
      <c r="AL125">
        <v>3</v>
      </c>
      <c r="AM125">
        <v>2</v>
      </c>
      <c r="AN125">
        <v>1</v>
      </c>
      <c r="AO125" t="s">
        <v>384</v>
      </c>
      <c r="AP125">
        <v>42.813398999999997</v>
      </c>
      <c r="AQ125" t="s">
        <v>385</v>
      </c>
      <c r="AR125">
        <v>-77.662674999999993</v>
      </c>
      <c r="AS125">
        <v>25</v>
      </c>
      <c r="AT125">
        <v>3600</v>
      </c>
      <c r="AU125" t="s">
        <v>123</v>
      </c>
      <c r="AV125">
        <v>89</v>
      </c>
      <c r="AW125">
        <v>148</v>
      </c>
      <c r="AX125">
        <v>-64</v>
      </c>
      <c r="AZ125">
        <f t="shared" si="16"/>
        <v>7921</v>
      </c>
      <c r="BA125">
        <f t="shared" si="17"/>
        <v>21904</v>
      </c>
      <c r="BB125" s="1">
        <f t="shared" si="18"/>
        <v>172.69916039170545</v>
      </c>
      <c r="BJ125">
        <v>1404</v>
      </c>
      <c r="BK125">
        <v>1</v>
      </c>
      <c r="BL125" t="str">
        <f t="shared" si="12"/>
        <v xml:space="preserve">N600C   </v>
      </c>
      <c r="BM125">
        <v>2</v>
      </c>
      <c r="BO125">
        <v>0</v>
      </c>
      <c r="BP125">
        <v>0</v>
      </c>
      <c r="BQ125">
        <v>0</v>
      </c>
      <c r="BR125">
        <v>3700</v>
      </c>
      <c r="BS125">
        <v>100</v>
      </c>
      <c r="BT125" t="s">
        <v>128</v>
      </c>
      <c r="BU125">
        <v>0</v>
      </c>
      <c r="BV125">
        <v>0</v>
      </c>
      <c r="BW125">
        <v>0</v>
      </c>
      <c r="BX125">
        <v>1</v>
      </c>
      <c r="CA125">
        <v>0</v>
      </c>
      <c r="CB125">
        <v>0</v>
      </c>
      <c r="CC125">
        <v>0</v>
      </c>
      <c r="CM125" t="str">
        <f>"17:42:17.218"</f>
        <v>17:42:17.218</v>
      </c>
      <c r="CN125">
        <v>217580124</v>
      </c>
      <c r="CQ125">
        <v>0</v>
      </c>
      <c r="CR125">
        <v>4000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2</v>
      </c>
      <c r="DC125">
        <v>0</v>
      </c>
      <c r="DD125">
        <v>2</v>
      </c>
      <c r="DE125">
        <v>0</v>
      </c>
      <c r="DF125">
        <v>7</v>
      </c>
      <c r="DG125">
        <v>7</v>
      </c>
      <c r="DH125" t="s">
        <v>124</v>
      </c>
      <c r="DI125">
        <v>71</v>
      </c>
      <c r="DJ125">
        <v>1</v>
      </c>
      <c r="DK125" t="s">
        <v>134</v>
      </c>
      <c r="DL125" t="s">
        <v>135</v>
      </c>
      <c r="DO125">
        <v>11317547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</row>
    <row r="126" spans="1:131" x14ac:dyDescent="0.35">
      <c r="A126" s="2" t="str">
        <f>"17:42:18.414"</f>
        <v>17:42:18.414</v>
      </c>
      <c r="B126" s="4">
        <f t="shared" si="19"/>
        <v>63738.413999999997</v>
      </c>
      <c r="C126" s="4">
        <f t="shared" si="13"/>
        <v>138.41399999999703</v>
      </c>
      <c r="D126" s="3">
        <f t="shared" si="14"/>
        <v>0.73771312499999997</v>
      </c>
      <c r="E126" s="2">
        <f t="shared" si="15"/>
        <v>0.73771312499999997</v>
      </c>
      <c r="G126" t="str">
        <f t="shared" si="10"/>
        <v>FFDFD7C0</v>
      </c>
      <c r="H126" t="s">
        <v>126</v>
      </c>
      <c r="I126">
        <v>8</v>
      </c>
      <c r="J126">
        <v>1008</v>
      </c>
      <c r="K126" t="s">
        <v>129</v>
      </c>
      <c r="N126" t="s">
        <v>127</v>
      </c>
      <c r="O126">
        <v>0</v>
      </c>
      <c r="P126">
        <v>3</v>
      </c>
      <c r="Q126">
        <v>0</v>
      </c>
      <c r="R126">
        <v>2</v>
      </c>
      <c r="S126">
        <v>1</v>
      </c>
      <c r="T126">
        <v>0</v>
      </c>
      <c r="U126">
        <v>0</v>
      </c>
      <c r="W126" t="str">
        <f>"17:42:18.211"</f>
        <v>17:42:18.211</v>
      </c>
      <c r="X126" t="str">
        <f>"17:42:17.811"</f>
        <v>17:42:17.811</v>
      </c>
      <c r="Y126" t="str">
        <f t="shared" si="11"/>
        <v>A7C771</v>
      </c>
      <c r="Z126">
        <v>0</v>
      </c>
      <c r="AA126">
        <v>0</v>
      </c>
      <c r="AB126">
        <v>2</v>
      </c>
      <c r="AC126">
        <v>0</v>
      </c>
      <c r="AE126">
        <v>0</v>
      </c>
      <c r="AF126">
        <v>8</v>
      </c>
      <c r="AG126">
        <v>3</v>
      </c>
      <c r="AH126">
        <v>0</v>
      </c>
      <c r="AI126">
        <v>9</v>
      </c>
      <c r="AJ126" t="s">
        <v>125</v>
      </c>
      <c r="AK126">
        <v>0</v>
      </c>
      <c r="AL126">
        <v>3</v>
      </c>
      <c r="AM126">
        <v>2</v>
      </c>
      <c r="AN126">
        <v>1</v>
      </c>
      <c r="AO126" t="s">
        <v>386</v>
      </c>
      <c r="AP126">
        <v>42.814084999999999</v>
      </c>
      <c r="AQ126" t="s">
        <v>387</v>
      </c>
      <c r="AR126">
        <v>-77.66216</v>
      </c>
      <c r="AS126">
        <v>25</v>
      </c>
      <c r="AT126">
        <v>3600</v>
      </c>
      <c r="AU126" t="s">
        <v>123</v>
      </c>
      <c r="AV126">
        <v>89</v>
      </c>
      <c r="AW126">
        <v>149</v>
      </c>
      <c r="AX126">
        <v>0</v>
      </c>
      <c r="AZ126">
        <f t="shared" si="16"/>
        <v>7921</v>
      </c>
      <c r="BA126">
        <f t="shared" si="17"/>
        <v>22201</v>
      </c>
      <c r="BB126" s="1">
        <f t="shared" si="18"/>
        <v>173.55690709389816</v>
      </c>
      <c r="BJ126">
        <v>1404</v>
      </c>
      <c r="BK126">
        <v>1</v>
      </c>
      <c r="BL126" t="str">
        <f t="shared" si="12"/>
        <v xml:space="preserve">N600C   </v>
      </c>
      <c r="BM126">
        <v>2</v>
      </c>
      <c r="BO126">
        <v>0</v>
      </c>
      <c r="BP126">
        <v>0</v>
      </c>
      <c r="BQ126">
        <v>0</v>
      </c>
      <c r="BR126">
        <v>3700</v>
      </c>
      <c r="BS126">
        <v>100</v>
      </c>
      <c r="BT126" t="s">
        <v>128</v>
      </c>
      <c r="BU126">
        <v>0</v>
      </c>
      <c r="BV126">
        <v>0</v>
      </c>
      <c r="BW126">
        <v>0</v>
      </c>
      <c r="BX126">
        <v>1</v>
      </c>
      <c r="CA126">
        <v>0</v>
      </c>
      <c r="CB126">
        <v>0</v>
      </c>
      <c r="CC126">
        <v>0</v>
      </c>
      <c r="CM126" t="str">
        <f>"17:42:18.218"</f>
        <v>17:42:18.218</v>
      </c>
      <c r="CN126">
        <v>217765561</v>
      </c>
      <c r="CQ126">
        <v>0</v>
      </c>
      <c r="CR126">
        <v>4000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2</v>
      </c>
      <c r="DC126">
        <v>0</v>
      </c>
      <c r="DD126">
        <v>2</v>
      </c>
      <c r="DE126">
        <v>0</v>
      </c>
      <c r="DF126">
        <v>7</v>
      </c>
      <c r="DG126">
        <v>7</v>
      </c>
      <c r="DH126" t="s">
        <v>124</v>
      </c>
      <c r="DI126">
        <v>71</v>
      </c>
      <c r="DJ126">
        <v>1</v>
      </c>
      <c r="DK126" t="s">
        <v>134</v>
      </c>
      <c r="DL126" t="s">
        <v>135</v>
      </c>
      <c r="DO126">
        <v>11318411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</row>
    <row r="127" spans="1:131" x14ac:dyDescent="0.35">
      <c r="A127" s="2" t="str">
        <f>"17:42:19.536"</f>
        <v>17:42:19.536</v>
      </c>
      <c r="B127" s="4">
        <f t="shared" si="19"/>
        <v>63739.536</v>
      </c>
      <c r="C127" s="4">
        <f t="shared" si="13"/>
        <v>139.53600000000006</v>
      </c>
      <c r="D127" s="3">
        <f t="shared" si="14"/>
        <v>0.73772611111111108</v>
      </c>
      <c r="E127" s="2">
        <f t="shared" si="15"/>
        <v>0.73772611111111108</v>
      </c>
      <c r="G127" t="str">
        <f t="shared" si="10"/>
        <v>FFDFD7C0</v>
      </c>
      <c r="H127" t="s">
        <v>126</v>
      </c>
      <c r="I127">
        <v>8</v>
      </c>
      <c r="J127">
        <v>1008</v>
      </c>
      <c r="K127" t="s">
        <v>129</v>
      </c>
      <c r="N127" t="s">
        <v>127</v>
      </c>
      <c r="O127">
        <v>0</v>
      </c>
      <c r="P127">
        <v>3</v>
      </c>
      <c r="Q127">
        <v>0</v>
      </c>
      <c r="R127">
        <v>2</v>
      </c>
      <c r="S127">
        <v>1</v>
      </c>
      <c r="T127">
        <v>0</v>
      </c>
      <c r="U127">
        <v>0</v>
      </c>
      <c r="W127" t="str">
        <f>"17:42:19.328"</f>
        <v>17:42:19.328</v>
      </c>
      <c r="X127" t="str">
        <f>"17:42:19.328"</f>
        <v>17:42:19.328</v>
      </c>
      <c r="Y127" t="str">
        <f t="shared" si="11"/>
        <v>A7C771</v>
      </c>
      <c r="Z127">
        <v>0</v>
      </c>
      <c r="AA127">
        <v>0</v>
      </c>
      <c r="AB127">
        <v>2</v>
      </c>
      <c r="AC127">
        <v>0</v>
      </c>
      <c r="AE127">
        <v>0</v>
      </c>
      <c r="AF127">
        <v>8</v>
      </c>
      <c r="AG127">
        <v>3</v>
      </c>
      <c r="AH127">
        <v>0</v>
      </c>
      <c r="AI127">
        <v>9</v>
      </c>
      <c r="AJ127" t="s">
        <v>125</v>
      </c>
      <c r="AK127">
        <v>0</v>
      </c>
      <c r="AL127">
        <v>3</v>
      </c>
      <c r="AM127">
        <v>2</v>
      </c>
      <c r="AN127">
        <v>1</v>
      </c>
      <c r="AO127" t="s">
        <v>388</v>
      </c>
      <c r="AP127">
        <v>42.814900999999999</v>
      </c>
      <c r="AQ127" t="s">
        <v>389</v>
      </c>
      <c r="AR127">
        <v>-77.661451999999997</v>
      </c>
      <c r="AS127">
        <v>25</v>
      </c>
      <c r="AT127">
        <v>3600</v>
      </c>
      <c r="AU127" t="s">
        <v>123</v>
      </c>
      <c r="AV127">
        <v>90</v>
      </c>
      <c r="AW127">
        <v>149</v>
      </c>
      <c r="AX127">
        <v>0</v>
      </c>
      <c r="AZ127">
        <f t="shared" si="16"/>
        <v>8100</v>
      </c>
      <c r="BA127">
        <f t="shared" si="17"/>
        <v>22201</v>
      </c>
      <c r="BB127" s="1">
        <f t="shared" si="18"/>
        <v>174.07182425654074</v>
      </c>
      <c r="BJ127">
        <v>1404</v>
      </c>
      <c r="BK127">
        <v>1</v>
      </c>
      <c r="BL127" t="str">
        <f t="shared" si="12"/>
        <v xml:space="preserve">N600C   </v>
      </c>
      <c r="BM127">
        <v>2</v>
      </c>
      <c r="BO127">
        <v>0</v>
      </c>
      <c r="BP127">
        <v>0</v>
      </c>
      <c r="BQ127">
        <v>0</v>
      </c>
      <c r="BR127">
        <v>3700</v>
      </c>
      <c r="BS127">
        <v>100</v>
      </c>
      <c r="BT127" t="s">
        <v>128</v>
      </c>
      <c r="BU127">
        <v>0</v>
      </c>
      <c r="BV127">
        <v>0</v>
      </c>
      <c r="BW127">
        <v>0</v>
      </c>
      <c r="BX127">
        <v>1</v>
      </c>
      <c r="CA127">
        <v>0</v>
      </c>
      <c r="CB127">
        <v>0</v>
      </c>
      <c r="CC127">
        <v>0</v>
      </c>
      <c r="CM127" t="str">
        <f>"17:42:19.330"</f>
        <v>17:42:19.330</v>
      </c>
      <c r="CN127">
        <v>329970010</v>
      </c>
      <c r="CQ127">
        <v>0</v>
      </c>
      <c r="CR127">
        <v>4000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2</v>
      </c>
      <c r="DC127">
        <v>0</v>
      </c>
      <c r="DD127">
        <v>2</v>
      </c>
      <c r="DE127">
        <v>0</v>
      </c>
      <c r="DF127">
        <v>7</v>
      </c>
      <c r="DG127">
        <v>7</v>
      </c>
      <c r="DH127" t="s">
        <v>124</v>
      </c>
      <c r="DI127">
        <v>71</v>
      </c>
      <c r="DJ127">
        <v>1</v>
      </c>
      <c r="DK127" t="s">
        <v>134</v>
      </c>
      <c r="DL127" t="s">
        <v>135</v>
      </c>
      <c r="DO127">
        <v>11319318</v>
      </c>
      <c r="DQ127">
        <v>0</v>
      </c>
      <c r="DR127">
        <v>0</v>
      </c>
      <c r="DS127">
        <v>1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</row>
    <row r="128" spans="1:131" x14ac:dyDescent="0.35">
      <c r="A128" s="2" t="str">
        <f>"17:42:20.505"</f>
        <v>17:42:20.505</v>
      </c>
      <c r="B128" s="4">
        <f t="shared" si="19"/>
        <v>63740.504999999997</v>
      </c>
      <c r="C128" s="4">
        <f t="shared" si="13"/>
        <v>140.50499999999738</v>
      </c>
      <c r="D128" s="3">
        <f t="shared" si="14"/>
        <v>0.73773732638888889</v>
      </c>
      <c r="E128" s="2">
        <f t="shared" si="15"/>
        <v>0.73773732638888889</v>
      </c>
      <c r="G128" t="str">
        <f t="shared" si="10"/>
        <v>FFDFD7C0</v>
      </c>
      <c r="H128" t="s">
        <v>126</v>
      </c>
      <c r="I128">
        <v>8</v>
      </c>
      <c r="J128">
        <v>1008</v>
      </c>
      <c r="K128" t="s">
        <v>129</v>
      </c>
      <c r="N128" t="s">
        <v>127</v>
      </c>
      <c r="O128">
        <v>0</v>
      </c>
      <c r="P128">
        <v>3</v>
      </c>
      <c r="Q128">
        <v>0</v>
      </c>
      <c r="R128">
        <v>2</v>
      </c>
      <c r="S128">
        <v>1</v>
      </c>
      <c r="T128">
        <v>0</v>
      </c>
      <c r="U128">
        <v>0</v>
      </c>
      <c r="W128" t="str">
        <f>"17:42:20.313"</f>
        <v>17:42:20.313</v>
      </c>
      <c r="X128" t="str">
        <f>"17:42:20.313"</f>
        <v>17:42:20.313</v>
      </c>
      <c r="Y128" t="str">
        <f t="shared" si="11"/>
        <v>A7C771</v>
      </c>
      <c r="Z128">
        <v>0</v>
      </c>
      <c r="AA128">
        <v>0</v>
      </c>
      <c r="AB128">
        <v>2</v>
      </c>
      <c r="AC128">
        <v>0</v>
      </c>
      <c r="AE128">
        <v>0</v>
      </c>
      <c r="AF128">
        <v>8</v>
      </c>
      <c r="AG128">
        <v>3</v>
      </c>
      <c r="AH128">
        <v>0</v>
      </c>
      <c r="AI128">
        <v>9</v>
      </c>
      <c r="AJ128" t="s">
        <v>125</v>
      </c>
      <c r="AK128">
        <v>0</v>
      </c>
      <c r="AL128">
        <v>3</v>
      </c>
      <c r="AM128">
        <v>2</v>
      </c>
      <c r="AN128">
        <v>1</v>
      </c>
      <c r="AO128" t="s">
        <v>390</v>
      </c>
      <c r="AP128">
        <v>42.815545</v>
      </c>
      <c r="AQ128" t="s">
        <v>391</v>
      </c>
      <c r="AR128">
        <v>-77.660916</v>
      </c>
      <c r="AS128">
        <v>25</v>
      </c>
      <c r="AT128">
        <v>3600</v>
      </c>
      <c r="AU128" t="s">
        <v>123</v>
      </c>
      <c r="AV128">
        <v>91</v>
      </c>
      <c r="AW128">
        <v>149</v>
      </c>
      <c r="AX128">
        <v>0</v>
      </c>
      <c r="AZ128">
        <f t="shared" si="16"/>
        <v>8281</v>
      </c>
      <c r="BA128">
        <f t="shared" si="17"/>
        <v>22201</v>
      </c>
      <c r="BB128" s="1">
        <f t="shared" si="18"/>
        <v>174.59095051004218</v>
      </c>
      <c r="BJ128">
        <v>1404</v>
      </c>
      <c r="BK128">
        <v>1</v>
      </c>
      <c r="BL128" t="str">
        <f t="shared" si="12"/>
        <v xml:space="preserve">N600C   </v>
      </c>
      <c r="BM128">
        <v>2</v>
      </c>
      <c r="BO128">
        <v>0</v>
      </c>
      <c r="BP128">
        <v>0</v>
      </c>
      <c r="BQ128">
        <v>0</v>
      </c>
      <c r="BR128">
        <v>3700</v>
      </c>
      <c r="BS128">
        <v>100</v>
      </c>
      <c r="BT128" t="s">
        <v>128</v>
      </c>
      <c r="BU128">
        <v>0</v>
      </c>
      <c r="BV128">
        <v>0</v>
      </c>
      <c r="BW128">
        <v>0</v>
      </c>
      <c r="BX128">
        <v>1</v>
      </c>
      <c r="CA128">
        <v>0</v>
      </c>
      <c r="CB128">
        <v>0</v>
      </c>
      <c r="CC128">
        <v>0</v>
      </c>
      <c r="CM128" t="str">
        <f>"17:42:20.314"</f>
        <v>17:42:20.314</v>
      </c>
      <c r="CN128">
        <v>314152505</v>
      </c>
      <c r="CQ128">
        <v>0</v>
      </c>
      <c r="CR128">
        <v>4000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2</v>
      </c>
      <c r="DC128">
        <v>0</v>
      </c>
      <c r="DD128">
        <v>2</v>
      </c>
      <c r="DE128">
        <v>0</v>
      </c>
      <c r="DF128">
        <v>7</v>
      </c>
      <c r="DG128">
        <v>7</v>
      </c>
      <c r="DH128" t="s">
        <v>124</v>
      </c>
      <c r="DI128">
        <v>71</v>
      </c>
      <c r="DJ128">
        <v>1</v>
      </c>
      <c r="DK128" t="s">
        <v>134</v>
      </c>
      <c r="DL128" t="s">
        <v>135</v>
      </c>
      <c r="DO128">
        <v>11320153</v>
      </c>
      <c r="DQ128">
        <v>0</v>
      </c>
      <c r="DR128">
        <v>0</v>
      </c>
      <c r="DS128">
        <v>1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</row>
    <row r="129" spans="1:131" x14ac:dyDescent="0.35">
      <c r="A129" s="2" t="str">
        <f>"17:42:21.599"</f>
        <v>17:42:21.599</v>
      </c>
      <c r="B129" s="4">
        <f t="shared" si="19"/>
        <v>63741.599000000002</v>
      </c>
      <c r="C129" s="4">
        <f t="shared" si="13"/>
        <v>141.59900000000198</v>
      </c>
      <c r="D129" s="3">
        <f t="shared" si="14"/>
        <v>0.73774998842592598</v>
      </c>
      <c r="E129" s="2">
        <f t="shared" si="15"/>
        <v>0.73774998842592598</v>
      </c>
      <c r="G129" t="str">
        <f t="shared" si="10"/>
        <v>FFDFD7C0</v>
      </c>
      <c r="H129" t="s">
        <v>126</v>
      </c>
      <c r="I129">
        <v>8</v>
      </c>
      <c r="J129">
        <v>1008</v>
      </c>
      <c r="K129" t="s">
        <v>129</v>
      </c>
      <c r="N129" t="s">
        <v>127</v>
      </c>
      <c r="O129">
        <v>0</v>
      </c>
      <c r="P129">
        <v>3</v>
      </c>
      <c r="Q129">
        <v>0</v>
      </c>
      <c r="R129">
        <v>2</v>
      </c>
      <c r="S129">
        <v>1</v>
      </c>
      <c r="T129">
        <v>0</v>
      </c>
      <c r="U129">
        <v>0</v>
      </c>
      <c r="W129" t="str">
        <f>"17:42:21.375"</f>
        <v>17:42:21.375</v>
      </c>
      <c r="X129" t="str">
        <f>"17:42:20.875"</f>
        <v>17:42:20.875</v>
      </c>
      <c r="Y129" t="str">
        <f t="shared" si="11"/>
        <v>A7C771</v>
      </c>
      <c r="Z129">
        <v>0</v>
      </c>
      <c r="AA129">
        <v>0</v>
      </c>
      <c r="AB129">
        <v>2</v>
      </c>
      <c r="AC129">
        <v>0</v>
      </c>
      <c r="AE129">
        <v>0</v>
      </c>
      <c r="AF129">
        <v>8</v>
      </c>
      <c r="AG129">
        <v>3</v>
      </c>
      <c r="AH129">
        <v>0</v>
      </c>
      <c r="AI129">
        <v>9</v>
      </c>
      <c r="AJ129" t="s">
        <v>125</v>
      </c>
      <c r="AK129">
        <v>0</v>
      </c>
      <c r="AL129">
        <v>3</v>
      </c>
      <c r="AM129">
        <v>2</v>
      </c>
      <c r="AN129">
        <v>1</v>
      </c>
      <c r="AO129" t="s">
        <v>392</v>
      </c>
      <c r="AP129">
        <v>42.816274</v>
      </c>
      <c r="AQ129" t="s">
        <v>393</v>
      </c>
      <c r="AR129">
        <v>-77.660314999999997</v>
      </c>
      <c r="AS129">
        <v>25</v>
      </c>
      <c r="AT129">
        <v>3600</v>
      </c>
      <c r="AU129" t="s">
        <v>123</v>
      </c>
      <c r="AV129">
        <v>91</v>
      </c>
      <c r="AW129">
        <v>150</v>
      </c>
      <c r="AX129">
        <v>128</v>
      </c>
      <c r="AZ129">
        <f t="shared" si="16"/>
        <v>8281</v>
      </c>
      <c r="BA129">
        <f t="shared" si="17"/>
        <v>22500</v>
      </c>
      <c r="BB129" s="1">
        <f t="shared" si="18"/>
        <v>175.44514812328097</v>
      </c>
      <c r="BJ129">
        <v>1404</v>
      </c>
      <c r="BK129">
        <v>1</v>
      </c>
      <c r="BL129" t="str">
        <f t="shared" si="12"/>
        <v xml:space="preserve">N600C   </v>
      </c>
      <c r="BM129">
        <v>2</v>
      </c>
      <c r="BO129">
        <v>0</v>
      </c>
      <c r="BP129">
        <v>0</v>
      </c>
      <c r="BQ129">
        <v>0</v>
      </c>
      <c r="BR129">
        <v>3700</v>
      </c>
      <c r="BS129">
        <v>100</v>
      </c>
      <c r="BT129" t="s">
        <v>128</v>
      </c>
      <c r="BU129">
        <v>0</v>
      </c>
      <c r="BV129">
        <v>0</v>
      </c>
      <c r="BW129">
        <v>0</v>
      </c>
      <c r="BX129">
        <v>1</v>
      </c>
      <c r="CA129">
        <v>0</v>
      </c>
      <c r="CB129">
        <v>0</v>
      </c>
      <c r="CC129">
        <v>0</v>
      </c>
      <c r="CM129" t="str">
        <f>"17:42:21.378"</f>
        <v>17:42:21.378</v>
      </c>
      <c r="CN129">
        <v>378395956</v>
      </c>
      <c r="CQ129">
        <v>0</v>
      </c>
      <c r="CR129">
        <v>4000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2</v>
      </c>
      <c r="DC129">
        <v>0</v>
      </c>
      <c r="DD129">
        <v>2</v>
      </c>
      <c r="DE129">
        <v>0</v>
      </c>
      <c r="DF129">
        <v>7</v>
      </c>
      <c r="DG129">
        <v>7</v>
      </c>
      <c r="DH129" t="s">
        <v>124</v>
      </c>
      <c r="DI129">
        <v>407</v>
      </c>
      <c r="DJ129">
        <v>3</v>
      </c>
      <c r="DK129" t="s">
        <v>132</v>
      </c>
      <c r="DL129" t="s">
        <v>133</v>
      </c>
      <c r="DO129">
        <v>1355482</v>
      </c>
      <c r="DQ129">
        <v>0</v>
      </c>
      <c r="DR129">
        <v>0</v>
      </c>
      <c r="DS129">
        <v>1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</row>
    <row r="130" spans="1:131" x14ac:dyDescent="0.35">
      <c r="A130" s="2" t="str">
        <f>"17:42:22.661"</f>
        <v>17:42:22.661</v>
      </c>
      <c r="B130" s="4">
        <f t="shared" si="19"/>
        <v>63742.661</v>
      </c>
      <c r="C130" s="4">
        <f t="shared" si="13"/>
        <v>142.66100000000006</v>
      </c>
      <c r="D130" s="3">
        <f t="shared" si="14"/>
        <v>0.73776228009259259</v>
      </c>
      <c r="E130" s="2">
        <f t="shared" si="15"/>
        <v>0.73776228009259259</v>
      </c>
      <c r="G130" t="str">
        <f t="shared" si="10"/>
        <v>FFDFD7C0</v>
      </c>
      <c r="H130" t="s">
        <v>126</v>
      </c>
      <c r="I130">
        <v>8</v>
      </c>
      <c r="J130">
        <v>1008</v>
      </c>
      <c r="K130" t="s">
        <v>129</v>
      </c>
      <c r="N130" t="s">
        <v>127</v>
      </c>
      <c r="O130">
        <v>0</v>
      </c>
      <c r="P130">
        <v>3</v>
      </c>
      <c r="Q130">
        <v>0</v>
      </c>
      <c r="R130">
        <v>2</v>
      </c>
      <c r="S130">
        <v>1</v>
      </c>
      <c r="T130">
        <v>0</v>
      </c>
      <c r="U130">
        <v>0</v>
      </c>
      <c r="W130" t="str">
        <f>"17:42:22.398"</f>
        <v>17:42:22.398</v>
      </c>
      <c r="X130" t="str">
        <f>"17:42:21.998"</f>
        <v>17:42:21.998</v>
      </c>
      <c r="Y130" t="str">
        <f t="shared" si="11"/>
        <v>A7C771</v>
      </c>
      <c r="Z130">
        <v>0</v>
      </c>
      <c r="AA130">
        <v>0</v>
      </c>
      <c r="AB130">
        <v>2</v>
      </c>
      <c r="AC130">
        <v>0</v>
      </c>
      <c r="AE130">
        <v>0</v>
      </c>
      <c r="AF130">
        <v>8</v>
      </c>
      <c r="AG130">
        <v>3</v>
      </c>
      <c r="AH130">
        <v>0</v>
      </c>
      <c r="AI130">
        <v>9</v>
      </c>
      <c r="AJ130" t="s">
        <v>125</v>
      </c>
      <c r="AK130">
        <v>0</v>
      </c>
      <c r="AL130">
        <v>3</v>
      </c>
      <c r="AM130">
        <v>2</v>
      </c>
      <c r="AN130">
        <v>1</v>
      </c>
      <c r="AO130" t="s">
        <v>394</v>
      </c>
      <c r="AP130">
        <v>42.817025000000001</v>
      </c>
      <c r="AQ130" t="s">
        <v>395</v>
      </c>
      <c r="AR130">
        <v>-77.659735999999995</v>
      </c>
      <c r="AS130">
        <v>25</v>
      </c>
      <c r="AT130">
        <v>3625</v>
      </c>
      <c r="AU130" t="s">
        <v>123</v>
      </c>
      <c r="AV130">
        <v>91</v>
      </c>
      <c r="AW130">
        <v>150</v>
      </c>
      <c r="AX130">
        <v>192</v>
      </c>
      <c r="AZ130">
        <f t="shared" si="16"/>
        <v>8281</v>
      </c>
      <c r="BA130">
        <f t="shared" si="17"/>
        <v>22500</v>
      </c>
      <c r="BB130" s="1">
        <f t="shared" si="18"/>
        <v>175.44514812328097</v>
      </c>
      <c r="BJ130">
        <v>1404</v>
      </c>
      <c r="BK130">
        <v>1</v>
      </c>
      <c r="BL130" t="str">
        <f t="shared" si="12"/>
        <v xml:space="preserve">N600C   </v>
      </c>
      <c r="BM130">
        <v>2</v>
      </c>
      <c r="BO130">
        <v>0</v>
      </c>
      <c r="BP130">
        <v>0</v>
      </c>
      <c r="BQ130">
        <v>0</v>
      </c>
      <c r="BR130">
        <v>3700</v>
      </c>
      <c r="BS130">
        <v>75</v>
      </c>
      <c r="BT130" t="s">
        <v>128</v>
      </c>
      <c r="BU130">
        <v>0</v>
      </c>
      <c r="BV130">
        <v>0</v>
      </c>
      <c r="BW130">
        <v>0</v>
      </c>
      <c r="BX130">
        <v>1</v>
      </c>
      <c r="CA130">
        <v>0</v>
      </c>
      <c r="CB130">
        <v>0</v>
      </c>
      <c r="CC130">
        <v>0</v>
      </c>
      <c r="CM130" t="str">
        <f>"17:42:22.403"</f>
        <v>17:42:22.403</v>
      </c>
      <c r="CN130">
        <v>402530635</v>
      </c>
      <c r="CQ130">
        <v>0</v>
      </c>
      <c r="CR130">
        <v>4000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2</v>
      </c>
      <c r="DC130">
        <v>0</v>
      </c>
      <c r="DD130">
        <v>2</v>
      </c>
      <c r="DE130">
        <v>0</v>
      </c>
      <c r="DF130">
        <v>7</v>
      </c>
      <c r="DG130">
        <v>7</v>
      </c>
      <c r="DH130" t="s">
        <v>124</v>
      </c>
      <c r="DI130">
        <v>71</v>
      </c>
      <c r="DJ130">
        <v>1</v>
      </c>
      <c r="DK130" t="s">
        <v>134</v>
      </c>
      <c r="DL130" t="s">
        <v>135</v>
      </c>
      <c r="DO130">
        <v>11322080</v>
      </c>
      <c r="DQ130">
        <v>0</v>
      </c>
      <c r="DR130">
        <v>0</v>
      </c>
      <c r="DS130">
        <v>1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</row>
    <row r="131" spans="1:131" x14ac:dyDescent="0.35">
      <c r="A131" s="2" t="str">
        <f>"17:42:23.537"</f>
        <v>17:42:23.537</v>
      </c>
      <c r="B131" s="4">
        <f t="shared" si="19"/>
        <v>63743.537000000004</v>
      </c>
      <c r="C131" s="4">
        <f t="shared" si="13"/>
        <v>143.5370000000039</v>
      </c>
      <c r="D131" s="3">
        <f t="shared" si="14"/>
        <v>0.73777241898148149</v>
      </c>
      <c r="E131" s="2">
        <f t="shared" si="15"/>
        <v>0.73777241898148149</v>
      </c>
      <c r="G131" t="str">
        <f t="shared" ref="G131:G194" si="20">"FFDFD7C0"</f>
        <v>FFDFD7C0</v>
      </c>
      <c r="H131" t="s">
        <v>126</v>
      </c>
      <c r="I131">
        <v>8</v>
      </c>
      <c r="J131">
        <v>1008</v>
      </c>
      <c r="K131" t="s">
        <v>129</v>
      </c>
      <c r="N131" t="s">
        <v>127</v>
      </c>
      <c r="O131">
        <v>0</v>
      </c>
      <c r="P131">
        <v>3</v>
      </c>
      <c r="Q131">
        <v>0</v>
      </c>
      <c r="R131">
        <v>2</v>
      </c>
      <c r="S131">
        <v>1</v>
      </c>
      <c r="T131">
        <v>0</v>
      </c>
      <c r="U131">
        <v>0</v>
      </c>
      <c r="W131" t="str">
        <f>"17:42:23.336"</f>
        <v>17:42:23.336</v>
      </c>
      <c r="X131" t="str">
        <f>"17:42:22.936"</f>
        <v>17:42:22.936</v>
      </c>
      <c r="Y131" t="str">
        <f t="shared" ref="Y131:Y194" si="21">"A7C771"</f>
        <v>A7C771</v>
      </c>
      <c r="Z131">
        <v>0</v>
      </c>
      <c r="AA131">
        <v>0</v>
      </c>
      <c r="AB131">
        <v>2</v>
      </c>
      <c r="AC131">
        <v>0</v>
      </c>
      <c r="AE131">
        <v>0</v>
      </c>
      <c r="AF131">
        <v>8</v>
      </c>
      <c r="AG131">
        <v>3</v>
      </c>
      <c r="AH131">
        <v>0</v>
      </c>
      <c r="AI131">
        <v>9</v>
      </c>
      <c r="AJ131" t="s">
        <v>125</v>
      </c>
      <c r="AK131">
        <v>0</v>
      </c>
      <c r="AL131">
        <v>3</v>
      </c>
      <c r="AM131">
        <v>2</v>
      </c>
      <c r="AN131">
        <v>1</v>
      </c>
      <c r="AO131" t="s">
        <v>396</v>
      </c>
      <c r="AP131">
        <v>42.817712</v>
      </c>
      <c r="AQ131" t="s">
        <v>397</v>
      </c>
      <c r="AR131">
        <v>-77.659155999999996</v>
      </c>
      <c r="AS131">
        <v>25</v>
      </c>
      <c r="AT131">
        <v>3625</v>
      </c>
      <c r="AU131" t="s">
        <v>123</v>
      </c>
      <c r="AV131">
        <v>92</v>
      </c>
      <c r="AW131">
        <v>150</v>
      </c>
      <c r="AX131">
        <v>128</v>
      </c>
      <c r="AZ131">
        <f t="shared" si="16"/>
        <v>8464</v>
      </c>
      <c r="BA131">
        <f t="shared" si="17"/>
        <v>22500</v>
      </c>
      <c r="BB131" s="1">
        <f t="shared" si="18"/>
        <v>175.96590578859303</v>
      </c>
      <c r="BJ131">
        <v>1404</v>
      </c>
      <c r="BK131">
        <v>1</v>
      </c>
      <c r="BL131" t="str">
        <f t="shared" ref="BL131:BL194" si="22">"N600C   "</f>
        <v xml:space="preserve">N600C   </v>
      </c>
      <c r="BM131">
        <v>2</v>
      </c>
      <c r="BO131">
        <v>0</v>
      </c>
      <c r="BP131">
        <v>0</v>
      </c>
      <c r="BQ131">
        <v>0</v>
      </c>
      <c r="BR131">
        <v>3725</v>
      </c>
      <c r="BS131">
        <v>100</v>
      </c>
      <c r="BT131" t="s">
        <v>128</v>
      </c>
      <c r="BU131">
        <v>0</v>
      </c>
      <c r="BV131">
        <v>0</v>
      </c>
      <c r="BW131">
        <v>0</v>
      </c>
      <c r="BX131">
        <v>1</v>
      </c>
      <c r="CA131">
        <v>0</v>
      </c>
      <c r="CB131">
        <v>0</v>
      </c>
      <c r="CC131">
        <v>0</v>
      </c>
      <c r="CM131" t="str">
        <f>"17:42:23.339"</f>
        <v>17:42:23.339</v>
      </c>
      <c r="CN131">
        <v>338706154</v>
      </c>
      <c r="CQ131">
        <v>0</v>
      </c>
      <c r="CR131">
        <v>4000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2</v>
      </c>
      <c r="DC131">
        <v>0</v>
      </c>
      <c r="DD131">
        <v>2</v>
      </c>
      <c r="DE131">
        <v>0</v>
      </c>
      <c r="DF131">
        <v>7</v>
      </c>
      <c r="DG131">
        <v>7</v>
      </c>
      <c r="DH131" t="s">
        <v>124</v>
      </c>
      <c r="DI131">
        <v>71</v>
      </c>
      <c r="DJ131">
        <v>1</v>
      </c>
      <c r="DK131" t="s">
        <v>134</v>
      </c>
      <c r="DL131" t="s">
        <v>135</v>
      </c>
      <c r="DO131">
        <v>11322826</v>
      </c>
      <c r="DQ131">
        <v>0</v>
      </c>
      <c r="DR131">
        <v>0</v>
      </c>
      <c r="DS131">
        <v>1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</row>
    <row r="132" spans="1:131" x14ac:dyDescent="0.35">
      <c r="A132" s="2" t="str">
        <f>"17:42:24.630"</f>
        <v>17:42:24.630</v>
      </c>
      <c r="B132" s="4">
        <f t="shared" si="19"/>
        <v>63744.63</v>
      </c>
      <c r="C132" s="4">
        <f t="shared" ref="C132:C195" si="23">B132-63600</f>
        <v>144.62999999999738</v>
      </c>
      <c r="D132" s="3">
        <f t="shared" ref="D132:D195" si="24">E132</f>
        <v>0.73778506944444444</v>
      </c>
      <c r="E132" s="2">
        <f t="shared" ref="E132:E195" si="25">TIMEVALUE(A132)</f>
        <v>0.73778506944444444</v>
      </c>
      <c r="G132" t="str">
        <f t="shared" si="20"/>
        <v>FFDFD7C0</v>
      </c>
      <c r="H132" t="s">
        <v>126</v>
      </c>
      <c r="I132">
        <v>8</v>
      </c>
      <c r="J132">
        <v>1008</v>
      </c>
      <c r="K132" t="s">
        <v>129</v>
      </c>
      <c r="N132" t="s">
        <v>127</v>
      </c>
      <c r="O132">
        <v>0</v>
      </c>
      <c r="P132">
        <v>3</v>
      </c>
      <c r="Q132">
        <v>0</v>
      </c>
      <c r="R132">
        <v>2</v>
      </c>
      <c r="S132">
        <v>1</v>
      </c>
      <c r="T132">
        <v>0</v>
      </c>
      <c r="U132">
        <v>0</v>
      </c>
      <c r="W132" t="str">
        <f>"17:42:24.313"</f>
        <v>17:42:24.313</v>
      </c>
      <c r="X132" t="str">
        <f>"17:42:24.313"</f>
        <v>17:42:24.313</v>
      </c>
      <c r="Y132" t="str">
        <f t="shared" si="21"/>
        <v>A7C771</v>
      </c>
      <c r="Z132">
        <v>0</v>
      </c>
      <c r="AA132">
        <v>0</v>
      </c>
      <c r="AB132">
        <v>2</v>
      </c>
      <c r="AC132">
        <v>0</v>
      </c>
      <c r="AE132">
        <v>0</v>
      </c>
      <c r="AF132">
        <v>8</v>
      </c>
      <c r="AG132">
        <v>3</v>
      </c>
      <c r="AH132">
        <v>0</v>
      </c>
      <c r="AI132">
        <v>9</v>
      </c>
      <c r="AJ132" t="s">
        <v>125</v>
      </c>
      <c r="AK132">
        <v>0</v>
      </c>
      <c r="AL132">
        <v>3</v>
      </c>
      <c r="AM132">
        <v>2</v>
      </c>
      <c r="AN132">
        <v>1</v>
      </c>
      <c r="AO132" t="s">
        <v>398</v>
      </c>
      <c r="AP132">
        <v>42.818334</v>
      </c>
      <c r="AQ132" t="s">
        <v>399</v>
      </c>
      <c r="AR132">
        <v>-77.658619999999999</v>
      </c>
      <c r="AS132">
        <v>25</v>
      </c>
      <c r="AT132">
        <v>3625</v>
      </c>
      <c r="AU132" t="s">
        <v>123</v>
      </c>
      <c r="AV132">
        <v>92</v>
      </c>
      <c r="AW132">
        <v>151</v>
      </c>
      <c r="AX132">
        <v>128</v>
      </c>
      <c r="AZ132">
        <f t="shared" ref="AZ132:AZ195" si="26">(AV132)^2</f>
        <v>8464</v>
      </c>
      <c r="BA132">
        <f t="shared" ref="BA132:BA195" si="27">(AW132)^2</f>
        <v>22801</v>
      </c>
      <c r="BB132" s="1">
        <f t="shared" ref="BB132:BB195" si="28">SQRT(AZ132+BA132)</f>
        <v>176.81911661356077</v>
      </c>
      <c r="BJ132">
        <v>1404</v>
      </c>
      <c r="BK132">
        <v>1</v>
      </c>
      <c r="BL132" t="str">
        <f t="shared" si="22"/>
        <v xml:space="preserve">N600C   </v>
      </c>
      <c r="BM132">
        <v>2</v>
      </c>
      <c r="BO132">
        <v>0</v>
      </c>
      <c r="BP132">
        <v>0</v>
      </c>
      <c r="BQ132">
        <v>0</v>
      </c>
      <c r="BR132">
        <v>3725</v>
      </c>
      <c r="BS132">
        <v>100</v>
      </c>
      <c r="BT132" t="s">
        <v>128</v>
      </c>
      <c r="BU132">
        <v>0</v>
      </c>
      <c r="BV132">
        <v>0</v>
      </c>
      <c r="BW132">
        <v>0</v>
      </c>
      <c r="BX132">
        <v>1</v>
      </c>
      <c r="CA132">
        <v>0</v>
      </c>
      <c r="CB132">
        <v>0</v>
      </c>
      <c r="CC132">
        <v>0</v>
      </c>
      <c r="CM132" t="str">
        <f>"17:42:24.315"</f>
        <v>17:42:24.315</v>
      </c>
      <c r="CN132">
        <v>314885137</v>
      </c>
      <c r="CQ132">
        <v>0</v>
      </c>
      <c r="CR132">
        <v>4000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2</v>
      </c>
      <c r="DC132">
        <v>0</v>
      </c>
      <c r="DD132">
        <v>2</v>
      </c>
      <c r="DE132">
        <v>0</v>
      </c>
      <c r="DF132">
        <v>7</v>
      </c>
      <c r="DG132">
        <v>7</v>
      </c>
      <c r="DH132" t="s">
        <v>124</v>
      </c>
      <c r="DI132">
        <v>71</v>
      </c>
      <c r="DJ132">
        <v>1</v>
      </c>
      <c r="DK132" t="s">
        <v>134</v>
      </c>
      <c r="DL132" t="s">
        <v>135</v>
      </c>
      <c r="DO132">
        <v>11323623</v>
      </c>
      <c r="DQ132">
        <v>0</v>
      </c>
      <c r="DR132">
        <v>0</v>
      </c>
      <c r="DS132">
        <v>1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</row>
    <row r="133" spans="1:131" x14ac:dyDescent="0.35">
      <c r="A133" s="2" t="str">
        <f>"17:42:25.490"</f>
        <v>17:42:25.490</v>
      </c>
      <c r="B133" s="4">
        <f t="shared" si="19"/>
        <v>63745.49</v>
      </c>
      <c r="C133" s="4">
        <f t="shared" si="23"/>
        <v>145.48999999999796</v>
      </c>
      <c r="D133" s="3">
        <f t="shared" si="24"/>
        <v>0.73779502314814815</v>
      </c>
      <c r="E133" s="2">
        <f t="shared" si="25"/>
        <v>0.73779502314814815</v>
      </c>
      <c r="G133" t="str">
        <f t="shared" si="20"/>
        <v>FFDFD7C0</v>
      </c>
      <c r="H133" t="s">
        <v>126</v>
      </c>
      <c r="I133">
        <v>8</v>
      </c>
      <c r="J133">
        <v>1008</v>
      </c>
      <c r="K133" t="s">
        <v>129</v>
      </c>
      <c r="N133" t="s">
        <v>127</v>
      </c>
      <c r="O133">
        <v>0</v>
      </c>
      <c r="P133">
        <v>3</v>
      </c>
      <c r="Q133">
        <v>0</v>
      </c>
      <c r="R133">
        <v>2</v>
      </c>
      <c r="S133">
        <v>1</v>
      </c>
      <c r="T133">
        <v>0</v>
      </c>
      <c r="U133">
        <v>0</v>
      </c>
      <c r="W133" t="str">
        <f>"17:42:25.234"</f>
        <v>17:42:25.234</v>
      </c>
      <c r="X133" t="str">
        <f>"17:42:24.934"</f>
        <v>17:42:24.934</v>
      </c>
      <c r="Y133" t="str">
        <f t="shared" si="21"/>
        <v>A7C771</v>
      </c>
      <c r="Z133">
        <v>0</v>
      </c>
      <c r="AA133">
        <v>0</v>
      </c>
      <c r="AB133">
        <v>2</v>
      </c>
      <c r="AC133">
        <v>0</v>
      </c>
      <c r="AE133">
        <v>0</v>
      </c>
      <c r="AF133">
        <v>8</v>
      </c>
      <c r="AG133">
        <v>3</v>
      </c>
      <c r="AH133">
        <v>0</v>
      </c>
      <c r="AI133">
        <v>9</v>
      </c>
      <c r="AJ133" t="s">
        <v>125</v>
      </c>
      <c r="AK133">
        <v>0</v>
      </c>
      <c r="AL133">
        <v>3</v>
      </c>
      <c r="AM133">
        <v>2</v>
      </c>
      <c r="AN133">
        <v>1</v>
      </c>
      <c r="AO133" t="s">
        <v>400</v>
      </c>
      <c r="AP133">
        <v>42.819020999999999</v>
      </c>
      <c r="AQ133" t="s">
        <v>401</v>
      </c>
      <c r="AR133">
        <v>-77.658040999999997</v>
      </c>
      <c r="AS133">
        <v>25</v>
      </c>
      <c r="AT133">
        <v>3625</v>
      </c>
      <c r="AU133" t="s">
        <v>123</v>
      </c>
      <c r="AV133">
        <v>93</v>
      </c>
      <c r="AW133">
        <v>151</v>
      </c>
      <c r="AX133">
        <v>64</v>
      </c>
      <c r="AZ133">
        <f t="shared" si="26"/>
        <v>8649</v>
      </c>
      <c r="BA133">
        <f t="shared" si="27"/>
        <v>22801</v>
      </c>
      <c r="BB133" s="1">
        <f t="shared" si="28"/>
        <v>177.34147850968199</v>
      </c>
      <c r="BJ133">
        <v>1404</v>
      </c>
      <c r="BK133">
        <v>1</v>
      </c>
      <c r="BL133" t="str">
        <f t="shared" si="22"/>
        <v xml:space="preserve">N600C   </v>
      </c>
      <c r="BM133">
        <v>2</v>
      </c>
      <c r="BO133">
        <v>0</v>
      </c>
      <c r="BP133">
        <v>0</v>
      </c>
      <c r="BQ133">
        <v>0</v>
      </c>
      <c r="BR133">
        <v>3725</v>
      </c>
      <c r="BS133">
        <v>100</v>
      </c>
      <c r="BT133" t="s">
        <v>128</v>
      </c>
      <c r="BU133">
        <v>0</v>
      </c>
      <c r="BV133">
        <v>0</v>
      </c>
      <c r="BW133">
        <v>0</v>
      </c>
      <c r="BX133">
        <v>1</v>
      </c>
      <c r="CA133">
        <v>0</v>
      </c>
      <c r="CB133">
        <v>0</v>
      </c>
      <c r="CC133">
        <v>0</v>
      </c>
      <c r="CM133" t="str">
        <f>"17:42:25.235"</f>
        <v>17:42:25.235</v>
      </c>
      <c r="CN133">
        <v>235060266</v>
      </c>
      <c r="CQ133">
        <v>0</v>
      </c>
      <c r="CR133">
        <v>4000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2</v>
      </c>
      <c r="DC133">
        <v>0</v>
      </c>
      <c r="DD133">
        <v>2</v>
      </c>
      <c r="DE133">
        <v>0</v>
      </c>
      <c r="DF133">
        <v>7</v>
      </c>
      <c r="DG133">
        <v>7</v>
      </c>
      <c r="DH133" t="s">
        <v>124</v>
      </c>
      <c r="DI133">
        <v>71</v>
      </c>
      <c r="DJ133">
        <v>1</v>
      </c>
      <c r="DK133" t="s">
        <v>134</v>
      </c>
      <c r="DL133" t="s">
        <v>135</v>
      </c>
      <c r="DO133">
        <v>11324424</v>
      </c>
      <c r="DQ133">
        <v>0</v>
      </c>
      <c r="DR133">
        <v>0</v>
      </c>
      <c r="DS133">
        <v>1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</row>
    <row r="134" spans="1:131" x14ac:dyDescent="0.35">
      <c r="A134" s="2" t="str">
        <f>"17:42:26.568"</f>
        <v>17:42:26.568</v>
      </c>
      <c r="B134" s="4">
        <f t="shared" si="19"/>
        <v>63746.567999999992</v>
      </c>
      <c r="C134" s="4">
        <f t="shared" si="23"/>
        <v>146.56799999999203</v>
      </c>
      <c r="D134" s="3">
        <f t="shared" si="24"/>
        <v>0.73780749999999995</v>
      </c>
      <c r="E134" s="2">
        <f t="shared" si="25"/>
        <v>0.73780749999999995</v>
      </c>
      <c r="G134" t="str">
        <f t="shared" si="20"/>
        <v>FFDFD7C0</v>
      </c>
      <c r="H134" t="s">
        <v>126</v>
      </c>
      <c r="I134">
        <v>8</v>
      </c>
      <c r="J134">
        <v>1008</v>
      </c>
      <c r="K134" t="s">
        <v>129</v>
      </c>
      <c r="N134" t="s">
        <v>127</v>
      </c>
      <c r="O134">
        <v>0</v>
      </c>
      <c r="P134">
        <v>3</v>
      </c>
      <c r="Q134">
        <v>0</v>
      </c>
      <c r="R134">
        <v>2</v>
      </c>
      <c r="S134">
        <v>1</v>
      </c>
      <c r="T134">
        <v>0</v>
      </c>
      <c r="U134">
        <v>0</v>
      </c>
      <c r="W134" t="str">
        <f>"17:42:26.273"</f>
        <v>17:42:26.273</v>
      </c>
      <c r="X134" t="str">
        <f>"17:42:26.273"</f>
        <v>17:42:26.273</v>
      </c>
      <c r="Y134" t="str">
        <f t="shared" si="21"/>
        <v>A7C771</v>
      </c>
      <c r="Z134">
        <v>0</v>
      </c>
      <c r="AA134">
        <v>0</v>
      </c>
      <c r="AB134">
        <v>2</v>
      </c>
      <c r="AC134">
        <v>0</v>
      </c>
      <c r="AE134">
        <v>0</v>
      </c>
      <c r="AF134">
        <v>8</v>
      </c>
      <c r="AG134">
        <v>3</v>
      </c>
      <c r="AH134">
        <v>0</v>
      </c>
      <c r="AI134">
        <v>9</v>
      </c>
      <c r="AJ134" t="s">
        <v>125</v>
      </c>
      <c r="AK134">
        <v>0</v>
      </c>
      <c r="AL134">
        <v>3</v>
      </c>
      <c r="AM134">
        <v>2</v>
      </c>
      <c r="AN134">
        <v>1</v>
      </c>
      <c r="AO134" t="s">
        <v>402</v>
      </c>
      <c r="AP134">
        <v>42.819729000000002</v>
      </c>
      <c r="AQ134" t="s">
        <v>403</v>
      </c>
      <c r="AR134">
        <v>-77.657439999999994</v>
      </c>
      <c r="AS134">
        <v>25</v>
      </c>
      <c r="AT134">
        <v>3625</v>
      </c>
      <c r="AU134" t="s">
        <v>123</v>
      </c>
      <c r="AV134">
        <v>93</v>
      </c>
      <c r="AW134">
        <v>152</v>
      </c>
      <c r="AX134">
        <v>-64</v>
      </c>
      <c r="AZ134">
        <f t="shared" si="26"/>
        <v>8649</v>
      </c>
      <c r="BA134">
        <f t="shared" si="27"/>
        <v>23104</v>
      </c>
      <c r="BB134" s="1">
        <f t="shared" si="28"/>
        <v>178.1937148162078</v>
      </c>
      <c r="BJ134">
        <v>1404</v>
      </c>
      <c r="BK134">
        <v>1</v>
      </c>
      <c r="BL134" t="str">
        <f t="shared" si="22"/>
        <v xml:space="preserve">N600C   </v>
      </c>
      <c r="BM134">
        <v>2</v>
      </c>
      <c r="BO134">
        <v>0</v>
      </c>
      <c r="BP134">
        <v>0</v>
      </c>
      <c r="BQ134">
        <v>0</v>
      </c>
      <c r="BR134">
        <v>3725</v>
      </c>
      <c r="BS134">
        <v>100</v>
      </c>
      <c r="BT134" t="s">
        <v>128</v>
      </c>
      <c r="BU134">
        <v>0</v>
      </c>
      <c r="BV134">
        <v>0</v>
      </c>
      <c r="BW134">
        <v>0</v>
      </c>
      <c r="BX134">
        <v>1</v>
      </c>
      <c r="CA134">
        <v>0</v>
      </c>
      <c r="CB134">
        <v>0</v>
      </c>
      <c r="CC134">
        <v>0</v>
      </c>
      <c r="CM134" t="str">
        <f>"17:42:26.275"</f>
        <v>17:42:26.275</v>
      </c>
      <c r="CN134">
        <v>275246577</v>
      </c>
      <c r="CQ134">
        <v>0</v>
      </c>
      <c r="CR134">
        <v>4000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2</v>
      </c>
      <c r="DC134">
        <v>0</v>
      </c>
      <c r="DD134">
        <v>2</v>
      </c>
      <c r="DE134">
        <v>0</v>
      </c>
      <c r="DF134">
        <v>7</v>
      </c>
      <c r="DG134">
        <v>7</v>
      </c>
      <c r="DH134" t="s">
        <v>124</v>
      </c>
      <c r="DI134">
        <v>71</v>
      </c>
      <c r="DJ134">
        <v>1</v>
      </c>
      <c r="DK134" t="s">
        <v>134</v>
      </c>
      <c r="DL134" t="s">
        <v>135</v>
      </c>
      <c r="DO134">
        <v>11325469</v>
      </c>
      <c r="DQ134">
        <v>0</v>
      </c>
      <c r="DR134">
        <v>0</v>
      </c>
      <c r="DS134">
        <v>1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</row>
    <row r="135" spans="1:131" x14ac:dyDescent="0.35">
      <c r="A135" s="2" t="str">
        <f>"17:42:27.646"</f>
        <v>17:42:27.646</v>
      </c>
      <c r="B135" s="4">
        <f t="shared" ref="B135:B198" si="29">E135*86400</f>
        <v>63747.646000000001</v>
      </c>
      <c r="C135" s="4">
        <f t="shared" si="23"/>
        <v>147.64600000000064</v>
      </c>
      <c r="D135" s="3">
        <f t="shared" si="24"/>
        <v>0.73781997685185186</v>
      </c>
      <c r="E135" s="2">
        <f t="shared" si="25"/>
        <v>0.73781997685185186</v>
      </c>
      <c r="G135" t="str">
        <f t="shared" si="20"/>
        <v>FFDFD7C0</v>
      </c>
      <c r="H135" t="s">
        <v>126</v>
      </c>
      <c r="I135">
        <v>8</v>
      </c>
      <c r="J135">
        <v>1008</v>
      </c>
      <c r="K135" t="s">
        <v>129</v>
      </c>
      <c r="N135" t="s">
        <v>127</v>
      </c>
      <c r="O135">
        <v>0</v>
      </c>
      <c r="P135">
        <v>3</v>
      </c>
      <c r="Q135">
        <v>0</v>
      </c>
      <c r="R135">
        <v>2</v>
      </c>
      <c r="S135">
        <v>1</v>
      </c>
      <c r="T135">
        <v>0</v>
      </c>
      <c r="U135">
        <v>0</v>
      </c>
      <c r="W135" t="str">
        <f>"17:42:27.398"</f>
        <v>17:42:27.398</v>
      </c>
      <c r="X135" t="str">
        <f>"17:42:27.398"</f>
        <v>17:42:27.398</v>
      </c>
      <c r="Y135" t="str">
        <f t="shared" si="21"/>
        <v>A7C771</v>
      </c>
      <c r="Z135">
        <v>0</v>
      </c>
      <c r="AA135">
        <v>0</v>
      </c>
      <c r="AB135">
        <v>2</v>
      </c>
      <c r="AC135">
        <v>0</v>
      </c>
      <c r="AE135">
        <v>0</v>
      </c>
      <c r="AF135">
        <v>8</v>
      </c>
      <c r="AG135">
        <v>3</v>
      </c>
      <c r="AH135">
        <v>0</v>
      </c>
      <c r="AI135">
        <v>9</v>
      </c>
      <c r="AJ135" t="s">
        <v>125</v>
      </c>
      <c r="AK135">
        <v>0</v>
      </c>
      <c r="AL135">
        <v>3</v>
      </c>
      <c r="AM135">
        <v>2</v>
      </c>
      <c r="AN135">
        <v>1</v>
      </c>
      <c r="AO135" t="s">
        <v>404</v>
      </c>
      <c r="AP135">
        <v>42.820501</v>
      </c>
      <c r="AQ135" t="s">
        <v>405</v>
      </c>
      <c r="AR135">
        <v>-77.656796</v>
      </c>
      <c r="AS135">
        <v>25</v>
      </c>
      <c r="AT135">
        <v>3600</v>
      </c>
      <c r="AU135" t="s">
        <v>123</v>
      </c>
      <c r="AV135">
        <v>93</v>
      </c>
      <c r="AW135">
        <v>152</v>
      </c>
      <c r="AX135">
        <v>-64</v>
      </c>
      <c r="AZ135">
        <f t="shared" si="26"/>
        <v>8649</v>
      </c>
      <c r="BA135">
        <f t="shared" si="27"/>
        <v>23104</v>
      </c>
      <c r="BB135" s="1">
        <f t="shared" si="28"/>
        <v>178.1937148162078</v>
      </c>
      <c r="BJ135">
        <v>1404</v>
      </c>
      <c r="BK135">
        <v>1</v>
      </c>
      <c r="BL135" t="str">
        <f t="shared" si="22"/>
        <v xml:space="preserve">N600C   </v>
      </c>
      <c r="BM135">
        <v>2</v>
      </c>
      <c r="BO135">
        <v>0</v>
      </c>
      <c r="BP135">
        <v>0</v>
      </c>
      <c r="BQ135">
        <v>0</v>
      </c>
      <c r="BR135">
        <v>3725</v>
      </c>
      <c r="BS135">
        <v>125</v>
      </c>
      <c r="BT135" t="s">
        <v>128</v>
      </c>
      <c r="BU135">
        <v>0</v>
      </c>
      <c r="BV135">
        <v>0</v>
      </c>
      <c r="BW135">
        <v>0</v>
      </c>
      <c r="BX135">
        <v>1</v>
      </c>
      <c r="CA135">
        <v>0</v>
      </c>
      <c r="CB135">
        <v>0</v>
      </c>
      <c r="CC135">
        <v>0</v>
      </c>
      <c r="CM135" t="str">
        <f>"17:42:27.403"</f>
        <v>17:42:27.403</v>
      </c>
      <c r="CN135">
        <v>403459823</v>
      </c>
      <c r="CQ135">
        <v>0</v>
      </c>
      <c r="CR135">
        <v>4000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2</v>
      </c>
      <c r="DC135">
        <v>0</v>
      </c>
      <c r="DD135">
        <v>2</v>
      </c>
      <c r="DE135">
        <v>0</v>
      </c>
      <c r="DF135">
        <v>7</v>
      </c>
      <c r="DG135">
        <v>7</v>
      </c>
      <c r="DH135" t="s">
        <v>124</v>
      </c>
      <c r="DI135">
        <v>71</v>
      </c>
      <c r="DJ135">
        <v>1</v>
      </c>
      <c r="DK135" t="s">
        <v>134</v>
      </c>
      <c r="DL135" t="s">
        <v>135</v>
      </c>
      <c r="DO135">
        <v>11326494</v>
      </c>
      <c r="DQ135">
        <v>0</v>
      </c>
      <c r="DR135">
        <v>0</v>
      </c>
      <c r="DS135">
        <v>1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</row>
    <row r="136" spans="1:131" x14ac:dyDescent="0.35">
      <c r="A136" s="2" t="str">
        <f>"17:42:28.647"</f>
        <v>17:42:28.647</v>
      </c>
      <c r="B136" s="4">
        <f t="shared" si="29"/>
        <v>63748.646999999997</v>
      </c>
      <c r="C136" s="4">
        <f t="shared" si="23"/>
        <v>148.64699999999721</v>
      </c>
      <c r="D136" s="3">
        <f t="shared" si="24"/>
        <v>0.73783156249999993</v>
      </c>
      <c r="E136" s="2">
        <f t="shared" si="25"/>
        <v>0.73783156249999993</v>
      </c>
      <c r="G136" t="str">
        <f t="shared" si="20"/>
        <v>FFDFD7C0</v>
      </c>
      <c r="H136" t="s">
        <v>126</v>
      </c>
      <c r="I136">
        <v>8</v>
      </c>
      <c r="J136">
        <v>1008</v>
      </c>
      <c r="K136" t="s">
        <v>129</v>
      </c>
      <c r="N136" t="s">
        <v>127</v>
      </c>
      <c r="O136">
        <v>0</v>
      </c>
      <c r="P136">
        <v>3</v>
      </c>
      <c r="Q136">
        <v>0</v>
      </c>
      <c r="R136">
        <v>2</v>
      </c>
      <c r="S136">
        <v>1</v>
      </c>
      <c r="T136">
        <v>0</v>
      </c>
      <c r="U136">
        <v>0</v>
      </c>
      <c r="W136" t="str">
        <f>"17:42:28.391"</f>
        <v>17:42:28.391</v>
      </c>
      <c r="X136" t="str">
        <f>"17:42:27.891"</f>
        <v>17:42:27.891</v>
      </c>
      <c r="Y136" t="str">
        <f t="shared" si="21"/>
        <v>A7C771</v>
      </c>
      <c r="Z136">
        <v>0</v>
      </c>
      <c r="AA136">
        <v>0</v>
      </c>
      <c r="AB136">
        <v>2</v>
      </c>
      <c r="AC136">
        <v>0</v>
      </c>
      <c r="AE136">
        <v>0</v>
      </c>
      <c r="AF136">
        <v>8</v>
      </c>
      <c r="AG136">
        <v>3</v>
      </c>
      <c r="AH136">
        <v>0</v>
      </c>
      <c r="AI136">
        <v>9</v>
      </c>
      <c r="AJ136" t="s">
        <v>125</v>
      </c>
      <c r="AK136">
        <v>0</v>
      </c>
      <c r="AL136">
        <v>3</v>
      </c>
      <c r="AM136">
        <v>2</v>
      </c>
      <c r="AN136">
        <v>1</v>
      </c>
      <c r="AO136" t="s">
        <v>406</v>
      </c>
      <c r="AP136">
        <v>42.821230999999997</v>
      </c>
      <c r="AQ136" t="s">
        <v>407</v>
      </c>
      <c r="AR136">
        <v>-77.656216999999998</v>
      </c>
      <c r="AS136">
        <v>25</v>
      </c>
      <c r="AT136">
        <v>3600</v>
      </c>
      <c r="AU136" t="s">
        <v>123</v>
      </c>
      <c r="AV136">
        <v>93</v>
      </c>
      <c r="AW136">
        <v>153</v>
      </c>
      <c r="AX136">
        <v>-192</v>
      </c>
      <c r="AZ136">
        <f t="shared" si="26"/>
        <v>8649</v>
      </c>
      <c r="BA136">
        <f t="shared" si="27"/>
        <v>23409</v>
      </c>
      <c r="BB136" s="1">
        <f t="shared" si="28"/>
        <v>179.0474797365213</v>
      </c>
      <c r="BJ136">
        <v>1404</v>
      </c>
      <c r="BK136">
        <v>1</v>
      </c>
      <c r="BL136" t="str">
        <f t="shared" si="22"/>
        <v xml:space="preserve">N600C   </v>
      </c>
      <c r="BM136">
        <v>2</v>
      </c>
      <c r="BO136">
        <v>0</v>
      </c>
      <c r="BP136">
        <v>0</v>
      </c>
      <c r="BQ136">
        <v>0</v>
      </c>
      <c r="BR136">
        <v>3700</v>
      </c>
      <c r="BS136">
        <v>100</v>
      </c>
      <c r="BT136" t="s">
        <v>128</v>
      </c>
      <c r="BU136">
        <v>0</v>
      </c>
      <c r="BV136">
        <v>0</v>
      </c>
      <c r="BW136">
        <v>0</v>
      </c>
      <c r="BX136">
        <v>1</v>
      </c>
      <c r="CA136">
        <v>0.04</v>
      </c>
      <c r="CB136">
        <v>0</v>
      </c>
      <c r="CC136">
        <v>0</v>
      </c>
      <c r="CM136" t="str">
        <f>"17:42:28.396"</f>
        <v>17:42:28.396</v>
      </c>
      <c r="CN136">
        <v>395691596</v>
      </c>
      <c r="CQ136">
        <v>0</v>
      </c>
      <c r="CR136">
        <v>4000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2</v>
      </c>
      <c r="DC136">
        <v>0</v>
      </c>
      <c r="DD136">
        <v>2</v>
      </c>
      <c r="DE136">
        <v>0</v>
      </c>
      <c r="DF136">
        <v>7</v>
      </c>
      <c r="DG136">
        <v>7</v>
      </c>
      <c r="DH136" t="s">
        <v>124</v>
      </c>
      <c r="DI136">
        <v>407</v>
      </c>
      <c r="DJ136">
        <v>3</v>
      </c>
      <c r="DK136" t="s">
        <v>132</v>
      </c>
      <c r="DL136" t="s">
        <v>133</v>
      </c>
      <c r="DO136">
        <v>1362544</v>
      </c>
      <c r="DQ136">
        <v>0</v>
      </c>
      <c r="DR136">
        <v>0</v>
      </c>
      <c r="DS136">
        <v>1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</row>
    <row r="137" spans="1:131" x14ac:dyDescent="0.35">
      <c r="A137" s="2" t="str">
        <f>"17:42:29.771"</f>
        <v>17:42:29.771</v>
      </c>
      <c r="B137" s="4">
        <f t="shared" si="29"/>
        <v>63749.770999999993</v>
      </c>
      <c r="C137" s="4">
        <f t="shared" si="23"/>
        <v>149.77099999999336</v>
      </c>
      <c r="D137" s="3">
        <f t="shared" si="24"/>
        <v>0.73784457175925922</v>
      </c>
      <c r="E137" s="2">
        <f t="shared" si="25"/>
        <v>0.73784457175925922</v>
      </c>
      <c r="G137" t="str">
        <f t="shared" si="20"/>
        <v>FFDFD7C0</v>
      </c>
      <c r="H137" t="s">
        <v>126</v>
      </c>
      <c r="I137">
        <v>8</v>
      </c>
      <c r="J137">
        <v>1008</v>
      </c>
      <c r="K137" t="s">
        <v>129</v>
      </c>
      <c r="N137" t="s">
        <v>127</v>
      </c>
      <c r="O137">
        <v>0</v>
      </c>
      <c r="P137">
        <v>3</v>
      </c>
      <c r="Q137">
        <v>0</v>
      </c>
      <c r="R137">
        <v>2</v>
      </c>
      <c r="S137">
        <v>1</v>
      </c>
      <c r="T137">
        <v>0</v>
      </c>
      <c r="U137">
        <v>0</v>
      </c>
      <c r="W137" t="str">
        <f>"17:42:29.508"</f>
        <v>17:42:29.508</v>
      </c>
      <c r="X137" t="str">
        <f>"17:42:29.008"</f>
        <v>17:42:29.008</v>
      </c>
      <c r="Y137" t="str">
        <f t="shared" si="21"/>
        <v>A7C771</v>
      </c>
      <c r="Z137">
        <v>0</v>
      </c>
      <c r="AA137">
        <v>0</v>
      </c>
      <c r="AB137">
        <v>2</v>
      </c>
      <c r="AC137">
        <v>0</v>
      </c>
      <c r="AE137">
        <v>0</v>
      </c>
      <c r="AF137">
        <v>8</v>
      </c>
      <c r="AG137">
        <v>3</v>
      </c>
      <c r="AH137">
        <v>0</v>
      </c>
      <c r="AI137">
        <v>9</v>
      </c>
      <c r="AJ137" t="s">
        <v>125</v>
      </c>
      <c r="AK137">
        <v>0</v>
      </c>
      <c r="AL137">
        <v>3</v>
      </c>
      <c r="AM137">
        <v>2</v>
      </c>
      <c r="AN137">
        <v>1</v>
      </c>
      <c r="AO137" t="s">
        <v>408</v>
      </c>
      <c r="AP137">
        <v>42.822003000000002</v>
      </c>
      <c r="AQ137" t="s">
        <v>409</v>
      </c>
      <c r="AR137">
        <v>-77.655551000000003</v>
      </c>
      <c r="AS137">
        <v>25</v>
      </c>
      <c r="AT137">
        <v>3600</v>
      </c>
      <c r="AU137" t="s">
        <v>123</v>
      </c>
      <c r="AV137">
        <v>94</v>
      </c>
      <c r="AW137">
        <v>153</v>
      </c>
      <c r="AX137">
        <v>-192</v>
      </c>
      <c r="AZ137">
        <f t="shared" si="26"/>
        <v>8836</v>
      </c>
      <c r="BA137">
        <f t="shared" si="27"/>
        <v>23409</v>
      </c>
      <c r="BB137" s="1">
        <f t="shared" si="28"/>
        <v>179.56892826989863</v>
      </c>
      <c r="BJ137">
        <v>1404</v>
      </c>
      <c r="BK137">
        <v>1</v>
      </c>
      <c r="BL137" t="str">
        <f t="shared" si="22"/>
        <v xml:space="preserve">N600C   </v>
      </c>
      <c r="BM137">
        <v>2</v>
      </c>
      <c r="BO137">
        <v>0</v>
      </c>
      <c r="BP137">
        <v>0</v>
      </c>
      <c r="BQ137">
        <v>0</v>
      </c>
      <c r="BR137">
        <v>3700</v>
      </c>
      <c r="BS137">
        <v>100</v>
      </c>
      <c r="BT137" t="s">
        <v>128</v>
      </c>
      <c r="BU137">
        <v>0</v>
      </c>
      <c r="BV137">
        <v>0</v>
      </c>
      <c r="BW137">
        <v>0</v>
      </c>
      <c r="BX137">
        <v>1</v>
      </c>
      <c r="CA137">
        <v>0</v>
      </c>
      <c r="CB137">
        <v>0</v>
      </c>
      <c r="CC137">
        <v>0</v>
      </c>
      <c r="CM137" t="str">
        <f>"17:42:29.508"</f>
        <v>17:42:29.508</v>
      </c>
      <c r="CN137">
        <v>507897683</v>
      </c>
      <c r="CQ137">
        <v>0</v>
      </c>
      <c r="CR137">
        <v>4000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2</v>
      </c>
      <c r="DC137">
        <v>0</v>
      </c>
      <c r="DD137">
        <v>2</v>
      </c>
      <c r="DE137">
        <v>0</v>
      </c>
      <c r="DF137">
        <v>7</v>
      </c>
      <c r="DG137">
        <v>7</v>
      </c>
      <c r="DH137" t="s">
        <v>124</v>
      </c>
      <c r="DI137">
        <v>407</v>
      </c>
      <c r="DJ137">
        <v>3</v>
      </c>
      <c r="DK137" t="s">
        <v>132</v>
      </c>
      <c r="DL137" t="s">
        <v>133</v>
      </c>
      <c r="DO137">
        <v>1363548</v>
      </c>
      <c r="DQ137">
        <v>0</v>
      </c>
      <c r="DR137">
        <v>0</v>
      </c>
      <c r="DS137">
        <v>1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</row>
    <row r="138" spans="1:131" x14ac:dyDescent="0.35">
      <c r="A138" s="2" t="str">
        <f>"17:42:30.646"</f>
        <v>17:42:30.646</v>
      </c>
      <c r="B138" s="4">
        <f t="shared" si="29"/>
        <v>63750.646000000001</v>
      </c>
      <c r="C138" s="4">
        <f t="shared" si="23"/>
        <v>150.64600000000064</v>
      </c>
      <c r="D138" s="3">
        <f t="shared" si="24"/>
        <v>0.73785469907407408</v>
      </c>
      <c r="E138" s="2">
        <f t="shared" si="25"/>
        <v>0.73785469907407408</v>
      </c>
      <c r="G138" t="str">
        <f t="shared" si="20"/>
        <v>FFDFD7C0</v>
      </c>
      <c r="H138" t="s">
        <v>126</v>
      </c>
      <c r="I138">
        <v>8</v>
      </c>
      <c r="J138">
        <v>1008</v>
      </c>
      <c r="K138" t="s">
        <v>129</v>
      </c>
      <c r="N138" t="s">
        <v>127</v>
      </c>
      <c r="O138">
        <v>0</v>
      </c>
      <c r="P138">
        <v>3</v>
      </c>
      <c r="Q138">
        <v>0</v>
      </c>
      <c r="R138">
        <v>2</v>
      </c>
      <c r="S138">
        <v>1</v>
      </c>
      <c r="T138">
        <v>0</v>
      </c>
      <c r="U138">
        <v>0</v>
      </c>
      <c r="W138" t="str">
        <f>"17:42:30.398"</f>
        <v>17:42:30.398</v>
      </c>
      <c r="X138" t="str">
        <f>"17:42:29.998"</f>
        <v>17:42:29.998</v>
      </c>
      <c r="Y138" t="str">
        <f t="shared" si="21"/>
        <v>A7C771</v>
      </c>
      <c r="Z138">
        <v>0</v>
      </c>
      <c r="AA138">
        <v>0</v>
      </c>
      <c r="AB138">
        <v>2</v>
      </c>
      <c r="AC138">
        <v>0</v>
      </c>
      <c r="AE138">
        <v>0</v>
      </c>
      <c r="AF138">
        <v>8</v>
      </c>
      <c r="AG138">
        <v>3</v>
      </c>
      <c r="AH138">
        <v>0</v>
      </c>
      <c r="AI138">
        <v>9</v>
      </c>
      <c r="AJ138" t="s">
        <v>125</v>
      </c>
      <c r="AK138">
        <v>0</v>
      </c>
      <c r="AL138">
        <v>3</v>
      </c>
      <c r="AM138">
        <v>2</v>
      </c>
      <c r="AN138">
        <v>1</v>
      </c>
      <c r="AO138" t="s">
        <v>410</v>
      </c>
      <c r="AP138">
        <v>42.822647000000003</v>
      </c>
      <c r="AQ138" t="s">
        <v>411</v>
      </c>
      <c r="AR138">
        <v>-77.655015000000006</v>
      </c>
      <c r="AS138">
        <v>25</v>
      </c>
      <c r="AT138">
        <v>3600</v>
      </c>
      <c r="AU138" t="s">
        <v>123</v>
      </c>
      <c r="AV138">
        <v>94</v>
      </c>
      <c r="AW138">
        <v>154</v>
      </c>
      <c r="AX138">
        <v>-128</v>
      </c>
      <c r="AZ138">
        <f t="shared" si="26"/>
        <v>8836</v>
      </c>
      <c r="BA138">
        <f t="shared" si="27"/>
        <v>23716</v>
      </c>
      <c r="BB138" s="1">
        <f t="shared" si="28"/>
        <v>180.42172818150257</v>
      </c>
      <c r="BJ138">
        <v>1404</v>
      </c>
      <c r="BK138">
        <v>1</v>
      </c>
      <c r="BL138" t="str">
        <f t="shared" si="22"/>
        <v xml:space="preserve">N600C   </v>
      </c>
      <c r="BM138">
        <v>2</v>
      </c>
      <c r="BO138">
        <v>0</v>
      </c>
      <c r="BP138">
        <v>0</v>
      </c>
      <c r="BQ138">
        <v>0</v>
      </c>
      <c r="BR138">
        <v>3700</v>
      </c>
      <c r="BS138">
        <v>100</v>
      </c>
      <c r="BT138" t="s">
        <v>128</v>
      </c>
      <c r="BU138">
        <v>0</v>
      </c>
      <c r="BV138">
        <v>0</v>
      </c>
      <c r="BW138">
        <v>0</v>
      </c>
      <c r="BX138">
        <v>1</v>
      </c>
      <c r="CA138">
        <v>0.04</v>
      </c>
      <c r="CB138">
        <v>0</v>
      </c>
      <c r="CC138">
        <v>0</v>
      </c>
      <c r="CM138" t="str">
        <f>"17:42:30.404"</f>
        <v>17:42:30.404</v>
      </c>
      <c r="CN138">
        <v>404012879</v>
      </c>
      <c r="CQ138">
        <v>0</v>
      </c>
      <c r="CR138">
        <v>4000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2</v>
      </c>
      <c r="DC138">
        <v>0</v>
      </c>
      <c r="DD138">
        <v>2</v>
      </c>
      <c r="DE138">
        <v>0</v>
      </c>
      <c r="DF138">
        <v>7</v>
      </c>
      <c r="DG138">
        <v>7</v>
      </c>
      <c r="DH138" t="s">
        <v>124</v>
      </c>
      <c r="DI138">
        <v>71</v>
      </c>
      <c r="DJ138">
        <v>1</v>
      </c>
      <c r="DK138" t="s">
        <v>134</v>
      </c>
      <c r="DL138" t="s">
        <v>135</v>
      </c>
      <c r="DO138">
        <v>11329006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</row>
    <row r="139" spans="1:131" x14ac:dyDescent="0.35">
      <c r="A139" s="2" t="str">
        <f>"17:42:31.802"</f>
        <v>17:42:31.802</v>
      </c>
      <c r="B139" s="4">
        <f t="shared" si="29"/>
        <v>63751.802000000003</v>
      </c>
      <c r="C139" s="4">
        <f t="shared" si="23"/>
        <v>151.80200000000332</v>
      </c>
      <c r="D139" s="3">
        <f t="shared" si="24"/>
        <v>0.73786807870370374</v>
      </c>
      <c r="E139" s="2">
        <f t="shared" si="25"/>
        <v>0.73786807870370374</v>
      </c>
      <c r="G139" t="str">
        <f t="shared" si="20"/>
        <v>FFDFD7C0</v>
      </c>
      <c r="H139" t="s">
        <v>126</v>
      </c>
      <c r="I139">
        <v>8</v>
      </c>
      <c r="J139">
        <v>1008</v>
      </c>
      <c r="K139" t="s">
        <v>129</v>
      </c>
      <c r="N139" t="s">
        <v>127</v>
      </c>
      <c r="O139">
        <v>0</v>
      </c>
      <c r="P139">
        <v>3</v>
      </c>
      <c r="Q139">
        <v>0</v>
      </c>
      <c r="R139">
        <v>2</v>
      </c>
      <c r="S139">
        <v>1</v>
      </c>
      <c r="T139">
        <v>0</v>
      </c>
      <c r="U139">
        <v>0</v>
      </c>
      <c r="W139" t="str">
        <f>"17:42:31.406"</f>
        <v>17:42:31.406</v>
      </c>
      <c r="X139" t="str">
        <f>"17:42:31.106"</f>
        <v>17:42:31.106</v>
      </c>
      <c r="Y139" t="str">
        <f t="shared" si="21"/>
        <v>A7C771</v>
      </c>
      <c r="Z139">
        <v>0</v>
      </c>
      <c r="AA139">
        <v>0</v>
      </c>
      <c r="AB139">
        <v>2</v>
      </c>
      <c r="AC139">
        <v>0</v>
      </c>
      <c r="AE139">
        <v>0</v>
      </c>
      <c r="AF139">
        <v>8</v>
      </c>
      <c r="AG139">
        <v>3</v>
      </c>
      <c r="AH139">
        <v>0</v>
      </c>
      <c r="AI139">
        <v>9</v>
      </c>
      <c r="AJ139" t="s">
        <v>125</v>
      </c>
      <c r="AK139">
        <v>0</v>
      </c>
      <c r="AL139">
        <v>3</v>
      </c>
      <c r="AM139">
        <v>2</v>
      </c>
      <c r="AN139">
        <v>1</v>
      </c>
      <c r="AO139" t="s">
        <v>412</v>
      </c>
      <c r="AP139">
        <v>42.823377000000001</v>
      </c>
      <c r="AQ139" t="s">
        <v>413</v>
      </c>
      <c r="AR139">
        <v>-77.654436000000004</v>
      </c>
      <c r="AS139">
        <v>25</v>
      </c>
      <c r="AT139">
        <v>3600</v>
      </c>
      <c r="AU139" t="s">
        <v>123</v>
      </c>
      <c r="AV139">
        <v>94</v>
      </c>
      <c r="AW139">
        <v>154</v>
      </c>
      <c r="AX139">
        <v>-64</v>
      </c>
      <c r="AZ139">
        <f t="shared" si="26"/>
        <v>8836</v>
      </c>
      <c r="BA139">
        <f t="shared" si="27"/>
        <v>23716</v>
      </c>
      <c r="BB139" s="1">
        <f t="shared" si="28"/>
        <v>180.42172818150257</v>
      </c>
      <c r="BJ139">
        <v>1404</v>
      </c>
      <c r="BK139">
        <v>1</v>
      </c>
      <c r="BL139" t="str">
        <f t="shared" si="22"/>
        <v xml:space="preserve">N600C   </v>
      </c>
      <c r="BM139">
        <v>2</v>
      </c>
      <c r="BO139">
        <v>0</v>
      </c>
      <c r="BP139">
        <v>0</v>
      </c>
      <c r="BQ139">
        <v>0</v>
      </c>
      <c r="BR139">
        <v>3700</v>
      </c>
      <c r="BS139">
        <v>100</v>
      </c>
      <c r="BT139" t="s">
        <v>128</v>
      </c>
      <c r="BU139">
        <v>0</v>
      </c>
      <c r="BV139">
        <v>0</v>
      </c>
      <c r="BW139">
        <v>0</v>
      </c>
      <c r="BX139">
        <v>1</v>
      </c>
      <c r="CA139">
        <v>0</v>
      </c>
      <c r="CB139">
        <v>0</v>
      </c>
      <c r="CC139">
        <v>0</v>
      </c>
      <c r="CM139" t="str">
        <f>"17:42:31.412"</f>
        <v>17:42:31.412</v>
      </c>
      <c r="CN139">
        <v>412199497</v>
      </c>
      <c r="CQ139">
        <v>0</v>
      </c>
      <c r="CR139">
        <v>4000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2</v>
      </c>
      <c r="DC139">
        <v>0</v>
      </c>
      <c r="DD139">
        <v>2</v>
      </c>
      <c r="DE139">
        <v>0</v>
      </c>
      <c r="DF139">
        <v>7</v>
      </c>
      <c r="DG139">
        <v>7</v>
      </c>
      <c r="DH139" t="s">
        <v>124</v>
      </c>
      <c r="DI139">
        <v>71</v>
      </c>
      <c r="DJ139">
        <v>1</v>
      </c>
      <c r="DK139" t="s">
        <v>134</v>
      </c>
      <c r="DL139" t="s">
        <v>135</v>
      </c>
      <c r="DO139">
        <v>11330017</v>
      </c>
      <c r="DQ139">
        <v>0</v>
      </c>
      <c r="DR139">
        <v>0</v>
      </c>
      <c r="DS139">
        <v>1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</row>
    <row r="140" spans="1:131" x14ac:dyDescent="0.35">
      <c r="A140" s="2" t="str">
        <f>"17:42:32.740"</f>
        <v>17:42:32.740</v>
      </c>
      <c r="B140" s="4">
        <f t="shared" si="29"/>
        <v>63752.740000000005</v>
      </c>
      <c r="C140" s="4">
        <f t="shared" si="23"/>
        <v>152.74000000000524</v>
      </c>
      <c r="D140" s="3">
        <f t="shared" si="24"/>
        <v>0.73787893518518521</v>
      </c>
      <c r="E140" s="2">
        <f t="shared" si="25"/>
        <v>0.73787893518518521</v>
      </c>
      <c r="G140" t="str">
        <f t="shared" si="20"/>
        <v>FFDFD7C0</v>
      </c>
      <c r="H140" t="s">
        <v>126</v>
      </c>
      <c r="I140">
        <v>8</v>
      </c>
      <c r="J140">
        <v>1008</v>
      </c>
      <c r="K140" t="s">
        <v>129</v>
      </c>
      <c r="N140" t="s">
        <v>127</v>
      </c>
      <c r="O140">
        <v>0</v>
      </c>
      <c r="P140">
        <v>3</v>
      </c>
      <c r="Q140">
        <v>0</v>
      </c>
      <c r="R140">
        <v>2</v>
      </c>
      <c r="S140">
        <v>1</v>
      </c>
      <c r="T140">
        <v>0</v>
      </c>
      <c r="U140">
        <v>0</v>
      </c>
      <c r="W140" t="str">
        <f>"17:42:32.445"</f>
        <v>17:42:32.445</v>
      </c>
      <c r="X140" t="str">
        <f>"17:42:32.145"</f>
        <v>17:42:32.145</v>
      </c>
      <c r="Y140" t="str">
        <f t="shared" si="21"/>
        <v>A7C771</v>
      </c>
      <c r="Z140">
        <v>0</v>
      </c>
      <c r="AA140">
        <v>0</v>
      </c>
      <c r="AB140">
        <v>2</v>
      </c>
      <c r="AC140">
        <v>0</v>
      </c>
      <c r="AE140">
        <v>0</v>
      </c>
      <c r="AF140">
        <v>8</v>
      </c>
      <c r="AG140">
        <v>3</v>
      </c>
      <c r="AH140">
        <v>0</v>
      </c>
      <c r="AI140">
        <v>9</v>
      </c>
      <c r="AJ140" t="s">
        <v>125</v>
      </c>
      <c r="AK140">
        <v>0</v>
      </c>
      <c r="AL140">
        <v>3</v>
      </c>
      <c r="AM140">
        <v>2</v>
      </c>
      <c r="AN140">
        <v>1</v>
      </c>
      <c r="AO140" t="s">
        <v>414</v>
      </c>
      <c r="AP140">
        <v>42.824148999999998</v>
      </c>
      <c r="AQ140" t="s">
        <v>415</v>
      </c>
      <c r="AR140">
        <v>-77.653791999999996</v>
      </c>
      <c r="AS140">
        <v>25</v>
      </c>
      <c r="AT140">
        <v>3600</v>
      </c>
      <c r="AU140" t="s">
        <v>123</v>
      </c>
      <c r="AV140">
        <v>94</v>
      </c>
      <c r="AW140">
        <v>155</v>
      </c>
      <c r="AX140">
        <v>0</v>
      </c>
      <c r="AZ140">
        <f t="shared" si="26"/>
        <v>8836</v>
      </c>
      <c r="BA140">
        <f t="shared" si="27"/>
        <v>24025</v>
      </c>
      <c r="BB140" s="1">
        <f t="shared" si="28"/>
        <v>181.27603261324978</v>
      </c>
      <c r="BJ140">
        <v>1404</v>
      </c>
      <c r="BK140">
        <v>1</v>
      </c>
      <c r="BL140" t="str">
        <f t="shared" si="22"/>
        <v xml:space="preserve">N600C   </v>
      </c>
      <c r="BM140">
        <v>2</v>
      </c>
      <c r="BO140">
        <v>0</v>
      </c>
      <c r="BP140">
        <v>0</v>
      </c>
      <c r="BQ140">
        <v>0</v>
      </c>
      <c r="BR140">
        <v>3700</v>
      </c>
      <c r="BS140">
        <v>100</v>
      </c>
      <c r="BT140" t="s">
        <v>128</v>
      </c>
      <c r="BU140">
        <v>0</v>
      </c>
      <c r="BV140">
        <v>0</v>
      </c>
      <c r="BW140">
        <v>0</v>
      </c>
      <c r="BX140">
        <v>1</v>
      </c>
      <c r="CA140">
        <v>0</v>
      </c>
      <c r="CB140">
        <v>0</v>
      </c>
      <c r="CC140">
        <v>0</v>
      </c>
      <c r="CM140" t="str">
        <f>"17:42:32.452"</f>
        <v>17:42:32.452</v>
      </c>
      <c r="CN140">
        <v>452387962</v>
      </c>
      <c r="CQ140">
        <v>0</v>
      </c>
      <c r="CR140">
        <v>4000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2</v>
      </c>
      <c r="DC140">
        <v>0</v>
      </c>
      <c r="DD140">
        <v>2</v>
      </c>
      <c r="DE140">
        <v>0</v>
      </c>
      <c r="DF140">
        <v>7</v>
      </c>
      <c r="DG140">
        <v>7</v>
      </c>
      <c r="DH140" t="s">
        <v>124</v>
      </c>
      <c r="DI140">
        <v>71</v>
      </c>
      <c r="DJ140">
        <v>1</v>
      </c>
      <c r="DK140" t="s">
        <v>134</v>
      </c>
      <c r="DL140" t="s">
        <v>135</v>
      </c>
      <c r="DO140">
        <v>11330864</v>
      </c>
      <c r="DQ140">
        <v>0</v>
      </c>
      <c r="DR140">
        <v>0</v>
      </c>
      <c r="DS140">
        <v>1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</row>
    <row r="141" spans="1:131" x14ac:dyDescent="0.35">
      <c r="A141" s="2" t="str">
        <f>"17:42:33.678"</f>
        <v>17:42:33.678</v>
      </c>
      <c r="B141" s="4">
        <f t="shared" si="29"/>
        <v>63753.678</v>
      </c>
      <c r="C141" s="4">
        <f t="shared" si="23"/>
        <v>153.67799999999988</v>
      </c>
      <c r="D141" s="3">
        <f t="shared" si="24"/>
        <v>0.73788979166666668</v>
      </c>
      <c r="E141" s="2">
        <f t="shared" si="25"/>
        <v>0.73788979166666668</v>
      </c>
      <c r="G141" t="str">
        <f t="shared" si="20"/>
        <v>FFDFD7C0</v>
      </c>
      <c r="H141" t="s">
        <v>126</v>
      </c>
      <c r="I141">
        <v>8</v>
      </c>
      <c r="J141">
        <v>1008</v>
      </c>
      <c r="K141" t="s">
        <v>129</v>
      </c>
      <c r="N141" t="s">
        <v>127</v>
      </c>
      <c r="O141">
        <v>0</v>
      </c>
      <c r="P141">
        <v>3</v>
      </c>
      <c r="Q141">
        <v>0</v>
      </c>
      <c r="R141">
        <v>2</v>
      </c>
      <c r="S141">
        <v>1</v>
      </c>
      <c r="T141">
        <v>0</v>
      </c>
      <c r="U141">
        <v>0</v>
      </c>
      <c r="W141" t="str">
        <f>"17:42:33.484"</f>
        <v>17:42:33.484</v>
      </c>
      <c r="X141" t="str">
        <f>"17:42:33.084"</f>
        <v>17:42:33.084</v>
      </c>
      <c r="Y141" t="str">
        <f t="shared" si="21"/>
        <v>A7C771</v>
      </c>
      <c r="Z141">
        <v>0</v>
      </c>
      <c r="AA141">
        <v>0</v>
      </c>
      <c r="AB141">
        <v>2</v>
      </c>
      <c r="AC141">
        <v>0</v>
      </c>
      <c r="AE141">
        <v>0</v>
      </c>
      <c r="AF141">
        <v>8</v>
      </c>
      <c r="AG141">
        <v>3</v>
      </c>
      <c r="AH141">
        <v>0</v>
      </c>
      <c r="AI141">
        <v>9</v>
      </c>
      <c r="AJ141" t="s">
        <v>125</v>
      </c>
      <c r="AK141">
        <v>0</v>
      </c>
      <c r="AL141">
        <v>3</v>
      </c>
      <c r="AM141">
        <v>2</v>
      </c>
      <c r="AN141">
        <v>1</v>
      </c>
      <c r="AO141" t="s">
        <v>416</v>
      </c>
      <c r="AP141">
        <v>42.8249</v>
      </c>
      <c r="AQ141" t="s">
        <v>417</v>
      </c>
      <c r="AR141">
        <v>-77.653191000000007</v>
      </c>
      <c r="AS141">
        <v>25</v>
      </c>
      <c r="AT141">
        <v>3600</v>
      </c>
      <c r="AU141" t="s">
        <v>123</v>
      </c>
      <c r="AV141">
        <v>95</v>
      </c>
      <c r="AW141">
        <v>155</v>
      </c>
      <c r="AX141">
        <v>64</v>
      </c>
      <c r="AZ141">
        <f t="shared" si="26"/>
        <v>9025</v>
      </c>
      <c r="BA141">
        <f t="shared" si="27"/>
        <v>24025</v>
      </c>
      <c r="BB141" s="1">
        <f t="shared" si="28"/>
        <v>181.79658962697843</v>
      </c>
      <c r="BJ141">
        <v>1404</v>
      </c>
      <c r="BK141">
        <v>1</v>
      </c>
      <c r="BL141" t="str">
        <f t="shared" si="22"/>
        <v xml:space="preserve">N600C   </v>
      </c>
      <c r="BM141">
        <v>2</v>
      </c>
      <c r="BO141">
        <v>0</v>
      </c>
      <c r="BP141">
        <v>0</v>
      </c>
      <c r="BQ141">
        <v>0</v>
      </c>
      <c r="BR141">
        <v>3700</v>
      </c>
      <c r="BS141">
        <v>100</v>
      </c>
      <c r="BT141" t="s">
        <v>128</v>
      </c>
      <c r="BU141">
        <v>0</v>
      </c>
      <c r="BV141">
        <v>0</v>
      </c>
      <c r="BW141">
        <v>0</v>
      </c>
      <c r="BX141">
        <v>1</v>
      </c>
      <c r="CA141">
        <v>0</v>
      </c>
      <c r="CB141">
        <v>0</v>
      </c>
      <c r="CC141">
        <v>0</v>
      </c>
      <c r="CM141" t="str">
        <f>"17:42:33.485"</f>
        <v>17:42:33.485</v>
      </c>
      <c r="CN141">
        <v>484594452</v>
      </c>
      <c r="CQ141">
        <v>0</v>
      </c>
      <c r="CR141">
        <v>4000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2</v>
      </c>
      <c r="DC141">
        <v>0</v>
      </c>
      <c r="DD141">
        <v>2</v>
      </c>
      <c r="DE141">
        <v>0</v>
      </c>
      <c r="DF141">
        <v>7</v>
      </c>
      <c r="DG141">
        <v>7</v>
      </c>
      <c r="DH141" t="s">
        <v>124</v>
      </c>
      <c r="DI141">
        <v>71</v>
      </c>
      <c r="DJ141">
        <v>1</v>
      </c>
      <c r="DK141" t="s">
        <v>134</v>
      </c>
      <c r="DL141" t="s">
        <v>135</v>
      </c>
      <c r="DO141">
        <v>11331755</v>
      </c>
      <c r="DQ141">
        <v>0</v>
      </c>
      <c r="DR141">
        <v>0</v>
      </c>
      <c r="DS141">
        <v>1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</row>
    <row r="142" spans="1:131" x14ac:dyDescent="0.35">
      <c r="A142" s="2" t="str">
        <f>"17:42:34.911"</f>
        <v>17:42:34.911</v>
      </c>
      <c r="B142" s="4">
        <f t="shared" si="29"/>
        <v>63754.910999999993</v>
      </c>
      <c r="C142" s="4">
        <f t="shared" si="23"/>
        <v>154.91099999999278</v>
      </c>
      <c r="D142" s="3">
        <f t="shared" si="24"/>
        <v>0.73790406249999996</v>
      </c>
      <c r="E142" s="2">
        <f t="shared" si="25"/>
        <v>0.73790406249999996</v>
      </c>
      <c r="G142" t="str">
        <f t="shared" si="20"/>
        <v>FFDFD7C0</v>
      </c>
      <c r="H142" t="s">
        <v>126</v>
      </c>
      <c r="I142">
        <v>8</v>
      </c>
      <c r="J142">
        <v>1008</v>
      </c>
      <c r="K142" t="s">
        <v>129</v>
      </c>
      <c r="N142" t="s">
        <v>127</v>
      </c>
      <c r="O142">
        <v>0</v>
      </c>
      <c r="P142">
        <v>3</v>
      </c>
      <c r="Q142">
        <v>0</v>
      </c>
      <c r="R142">
        <v>2</v>
      </c>
      <c r="S142">
        <v>1</v>
      </c>
      <c r="T142">
        <v>0</v>
      </c>
      <c r="U142">
        <v>0</v>
      </c>
      <c r="W142" t="str">
        <f>"17:42:34.672"</f>
        <v>17:42:34.672</v>
      </c>
      <c r="X142" t="str">
        <f>"17:42:34.572"</f>
        <v>17:42:34.572</v>
      </c>
      <c r="Y142" t="str">
        <f t="shared" si="21"/>
        <v>A7C771</v>
      </c>
      <c r="Z142">
        <v>0</v>
      </c>
      <c r="AA142">
        <v>0</v>
      </c>
      <c r="AB142">
        <v>2</v>
      </c>
      <c r="AC142">
        <v>0</v>
      </c>
      <c r="AE142">
        <v>0</v>
      </c>
      <c r="AF142">
        <v>8</v>
      </c>
      <c r="AG142">
        <v>3</v>
      </c>
      <c r="AH142">
        <v>0</v>
      </c>
      <c r="AI142">
        <v>9</v>
      </c>
      <c r="AJ142" t="s">
        <v>125</v>
      </c>
      <c r="AK142">
        <v>0</v>
      </c>
      <c r="AL142">
        <v>3</v>
      </c>
      <c r="AM142">
        <v>2</v>
      </c>
      <c r="AN142">
        <v>1</v>
      </c>
      <c r="AO142" t="s">
        <v>418</v>
      </c>
      <c r="AP142">
        <v>42.825736999999997</v>
      </c>
      <c r="AQ142" t="s">
        <v>419</v>
      </c>
      <c r="AR142">
        <v>-77.652483000000004</v>
      </c>
      <c r="AS142">
        <v>25</v>
      </c>
      <c r="AT142">
        <v>3600</v>
      </c>
      <c r="AU142" t="s">
        <v>123</v>
      </c>
      <c r="AV142">
        <v>95</v>
      </c>
      <c r="AW142">
        <v>155</v>
      </c>
      <c r="AX142">
        <v>128</v>
      </c>
      <c r="AZ142">
        <f t="shared" si="26"/>
        <v>9025</v>
      </c>
      <c r="BA142">
        <f t="shared" si="27"/>
        <v>24025</v>
      </c>
      <c r="BB142" s="1">
        <f t="shared" si="28"/>
        <v>181.79658962697843</v>
      </c>
      <c r="BJ142">
        <v>1404</v>
      </c>
      <c r="BK142">
        <v>1</v>
      </c>
      <c r="BL142" t="str">
        <f t="shared" si="22"/>
        <v xml:space="preserve">N600C   </v>
      </c>
      <c r="BM142">
        <v>2</v>
      </c>
      <c r="BO142">
        <v>0</v>
      </c>
      <c r="BP142">
        <v>0</v>
      </c>
      <c r="BQ142">
        <v>0</v>
      </c>
      <c r="BR142">
        <v>3700</v>
      </c>
      <c r="BS142">
        <v>100</v>
      </c>
      <c r="BT142" t="s">
        <v>128</v>
      </c>
      <c r="BU142">
        <v>0</v>
      </c>
      <c r="BV142">
        <v>0</v>
      </c>
      <c r="BW142">
        <v>0</v>
      </c>
      <c r="BX142">
        <v>1</v>
      </c>
      <c r="CA142">
        <v>0</v>
      </c>
      <c r="CB142">
        <v>0</v>
      </c>
      <c r="CC142">
        <v>0</v>
      </c>
      <c r="CM142" t="str">
        <f>"17:42:34.677"</f>
        <v>17:42:34.677</v>
      </c>
      <c r="CN142">
        <v>676840090</v>
      </c>
      <c r="CQ142">
        <v>0</v>
      </c>
      <c r="CR142">
        <v>4000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2</v>
      </c>
      <c r="DC142">
        <v>0</v>
      </c>
      <c r="DD142">
        <v>2</v>
      </c>
      <c r="DE142">
        <v>0</v>
      </c>
      <c r="DF142">
        <v>7</v>
      </c>
      <c r="DG142">
        <v>7</v>
      </c>
      <c r="DH142" t="s">
        <v>124</v>
      </c>
      <c r="DI142">
        <v>71</v>
      </c>
      <c r="DJ142">
        <v>1</v>
      </c>
      <c r="DK142" t="s">
        <v>134</v>
      </c>
      <c r="DL142" t="s">
        <v>135</v>
      </c>
      <c r="DO142">
        <v>11332758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</row>
    <row r="143" spans="1:131" x14ac:dyDescent="0.35">
      <c r="A143" s="2" t="str">
        <f>"17:42:36.021"</f>
        <v>17:42:36.021</v>
      </c>
      <c r="B143" s="4">
        <f t="shared" si="29"/>
        <v>63756.021000000001</v>
      </c>
      <c r="C143" s="4">
        <f t="shared" si="23"/>
        <v>156.02100000000064</v>
      </c>
      <c r="D143" s="3">
        <f t="shared" si="24"/>
        <v>0.73791690972222224</v>
      </c>
      <c r="E143" s="2">
        <f t="shared" si="25"/>
        <v>0.73791690972222224</v>
      </c>
      <c r="G143" t="str">
        <f t="shared" si="20"/>
        <v>FFDFD7C0</v>
      </c>
      <c r="H143" t="s">
        <v>126</v>
      </c>
      <c r="I143">
        <v>8</v>
      </c>
      <c r="J143">
        <v>1008</v>
      </c>
      <c r="K143" t="s">
        <v>129</v>
      </c>
      <c r="N143" t="s">
        <v>127</v>
      </c>
      <c r="O143">
        <v>0</v>
      </c>
      <c r="P143">
        <v>3</v>
      </c>
      <c r="Q143">
        <v>0</v>
      </c>
      <c r="R143">
        <v>2</v>
      </c>
      <c r="S143">
        <v>1</v>
      </c>
      <c r="T143">
        <v>0</v>
      </c>
      <c r="U143">
        <v>0</v>
      </c>
      <c r="W143" t="str">
        <f>"17:42:35.742"</f>
        <v>17:42:35.742</v>
      </c>
      <c r="X143" t="str">
        <f>"17:42:35.542"</f>
        <v>17:42:35.542</v>
      </c>
      <c r="Y143" t="str">
        <f t="shared" si="21"/>
        <v>A7C771</v>
      </c>
      <c r="Z143">
        <v>0</v>
      </c>
      <c r="AA143">
        <v>0</v>
      </c>
      <c r="AB143">
        <v>2</v>
      </c>
      <c r="AC143">
        <v>0</v>
      </c>
      <c r="AE143">
        <v>0</v>
      </c>
      <c r="AF143">
        <v>8</v>
      </c>
      <c r="AG143">
        <v>3</v>
      </c>
      <c r="AH143">
        <v>0</v>
      </c>
      <c r="AI143">
        <v>9</v>
      </c>
      <c r="AJ143" t="s">
        <v>125</v>
      </c>
      <c r="AK143">
        <v>0</v>
      </c>
      <c r="AL143">
        <v>3</v>
      </c>
      <c r="AM143">
        <v>2</v>
      </c>
      <c r="AN143">
        <v>1</v>
      </c>
      <c r="AO143" t="s">
        <v>420</v>
      </c>
      <c r="AP143">
        <v>42.826531000000003</v>
      </c>
      <c r="AQ143" t="s">
        <v>421</v>
      </c>
      <c r="AR143">
        <v>-77.651818000000006</v>
      </c>
      <c r="AS143">
        <v>25</v>
      </c>
      <c r="AT143">
        <v>3600</v>
      </c>
      <c r="AU143" t="s">
        <v>123</v>
      </c>
      <c r="AV143">
        <v>96</v>
      </c>
      <c r="AW143">
        <v>154</v>
      </c>
      <c r="AX143">
        <v>64</v>
      </c>
      <c r="AZ143">
        <f t="shared" si="26"/>
        <v>9216</v>
      </c>
      <c r="BA143">
        <f t="shared" si="27"/>
        <v>23716</v>
      </c>
      <c r="BB143" s="1">
        <f t="shared" si="28"/>
        <v>181.47176088857461</v>
      </c>
      <c r="BJ143">
        <v>1404</v>
      </c>
      <c r="BK143">
        <v>1</v>
      </c>
      <c r="BL143" t="str">
        <f t="shared" si="22"/>
        <v xml:space="preserve">N600C   </v>
      </c>
      <c r="BM143">
        <v>2</v>
      </c>
      <c r="BO143">
        <v>0</v>
      </c>
      <c r="BP143">
        <v>0</v>
      </c>
      <c r="BQ143">
        <v>0</v>
      </c>
      <c r="BR143">
        <v>3700</v>
      </c>
      <c r="BS143">
        <v>100</v>
      </c>
      <c r="BT143" t="s">
        <v>128</v>
      </c>
      <c r="BU143">
        <v>0</v>
      </c>
      <c r="BV143">
        <v>0</v>
      </c>
      <c r="BW143">
        <v>0</v>
      </c>
      <c r="BX143">
        <v>1</v>
      </c>
      <c r="CA143">
        <v>0</v>
      </c>
      <c r="CB143">
        <v>0</v>
      </c>
      <c r="CC143">
        <v>0</v>
      </c>
      <c r="CM143" t="str">
        <f>"17:42:35.749"</f>
        <v>17:42:35.749</v>
      </c>
      <c r="CN143">
        <v>749002295</v>
      </c>
      <c r="CQ143">
        <v>0</v>
      </c>
      <c r="CR143">
        <v>4000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2</v>
      </c>
      <c r="DC143">
        <v>0</v>
      </c>
      <c r="DD143">
        <v>2</v>
      </c>
      <c r="DE143">
        <v>0</v>
      </c>
      <c r="DF143">
        <v>7</v>
      </c>
      <c r="DG143">
        <v>7</v>
      </c>
      <c r="DH143" t="s">
        <v>124</v>
      </c>
      <c r="DI143">
        <v>71</v>
      </c>
      <c r="DJ143">
        <v>1</v>
      </c>
      <c r="DK143" t="s">
        <v>134</v>
      </c>
      <c r="DL143" t="s">
        <v>135</v>
      </c>
      <c r="DO143">
        <v>11333833</v>
      </c>
      <c r="DQ143">
        <v>0</v>
      </c>
      <c r="DR143">
        <v>0</v>
      </c>
      <c r="DS143">
        <v>1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</row>
    <row r="144" spans="1:131" x14ac:dyDescent="0.35">
      <c r="A144" s="2" t="str">
        <f>"17:42:36.989"</f>
        <v>17:42:36.989</v>
      </c>
      <c r="B144" s="4">
        <f t="shared" si="29"/>
        <v>63756.989000000001</v>
      </c>
      <c r="C144" s="4">
        <f t="shared" si="23"/>
        <v>156.9890000000014</v>
      </c>
      <c r="D144" s="3">
        <f t="shared" si="24"/>
        <v>0.7379281134259259</v>
      </c>
      <c r="E144" s="2">
        <f t="shared" si="25"/>
        <v>0.7379281134259259</v>
      </c>
      <c r="G144" t="str">
        <f t="shared" si="20"/>
        <v>FFDFD7C0</v>
      </c>
      <c r="H144" t="s">
        <v>126</v>
      </c>
      <c r="I144">
        <v>8</v>
      </c>
      <c r="J144">
        <v>1008</v>
      </c>
      <c r="K144" t="s">
        <v>129</v>
      </c>
      <c r="N144" t="s">
        <v>127</v>
      </c>
      <c r="O144">
        <v>0</v>
      </c>
      <c r="P144">
        <v>3</v>
      </c>
      <c r="Q144">
        <v>0</v>
      </c>
      <c r="R144">
        <v>2</v>
      </c>
      <c r="S144">
        <v>1</v>
      </c>
      <c r="T144">
        <v>0</v>
      </c>
      <c r="U144">
        <v>0</v>
      </c>
      <c r="W144" t="str">
        <f>"17:42:36.688"</f>
        <v>17:42:36.688</v>
      </c>
      <c r="X144" t="str">
        <f>"17:42:36.488"</f>
        <v>17:42:36.488</v>
      </c>
      <c r="Y144" t="str">
        <f t="shared" si="21"/>
        <v>A7C771</v>
      </c>
      <c r="Z144">
        <v>0</v>
      </c>
      <c r="AA144">
        <v>0</v>
      </c>
      <c r="AB144">
        <v>2</v>
      </c>
      <c r="AC144">
        <v>0</v>
      </c>
      <c r="AE144">
        <v>0</v>
      </c>
      <c r="AF144">
        <v>8</v>
      </c>
      <c r="AG144">
        <v>3</v>
      </c>
      <c r="AH144">
        <v>0</v>
      </c>
      <c r="AI144">
        <v>9</v>
      </c>
      <c r="AJ144" t="s">
        <v>125</v>
      </c>
      <c r="AK144">
        <v>0</v>
      </c>
      <c r="AL144">
        <v>3</v>
      </c>
      <c r="AM144">
        <v>2</v>
      </c>
      <c r="AN144">
        <v>1</v>
      </c>
      <c r="AO144" t="s">
        <v>422</v>
      </c>
      <c r="AP144">
        <v>42.827174999999997</v>
      </c>
      <c r="AQ144" t="s">
        <v>423</v>
      </c>
      <c r="AR144">
        <v>-77.651238000000006</v>
      </c>
      <c r="AS144">
        <v>25</v>
      </c>
      <c r="AT144">
        <v>3600</v>
      </c>
      <c r="AU144" t="s">
        <v>123</v>
      </c>
      <c r="AV144">
        <v>96</v>
      </c>
      <c r="AW144">
        <v>154</v>
      </c>
      <c r="AX144">
        <v>64</v>
      </c>
      <c r="AZ144">
        <f t="shared" si="26"/>
        <v>9216</v>
      </c>
      <c r="BA144">
        <f t="shared" si="27"/>
        <v>23716</v>
      </c>
      <c r="BB144" s="1">
        <f t="shared" si="28"/>
        <v>181.47176088857461</v>
      </c>
      <c r="BJ144">
        <v>1404</v>
      </c>
      <c r="BK144">
        <v>1</v>
      </c>
      <c r="BL144" t="str">
        <f t="shared" si="22"/>
        <v xml:space="preserve">N600C   </v>
      </c>
      <c r="BM144">
        <v>2</v>
      </c>
      <c r="BO144">
        <v>0</v>
      </c>
      <c r="BP144">
        <v>0</v>
      </c>
      <c r="BQ144">
        <v>0</v>
      </c>
      <c r="BR144">
        <v>3700</v>
      </c>
      <c r="BS144">
        <v>100</v>
      </c>
      <c r="BT144" t="s">
        <v>128</v>
      </c>
      <c r="BU144">
        <v>0</v>
      </c>
      <c r="BV144">
        <v>0</v>
      </c>
      <c r="BW144">
        <v>0</v>
      </c>
      <c r="BX144">
        <v>1</v>
      </c>
      <c r="CA144">
        <v>0</v>
      </c>
      <c r="CB144">
        <v>0</v>
      </c>
      <c r="CC144">
        <v>0</v>
      </c>
      <c r="CM144" t="str">
        <f>"17:42:36.693"</f>
        <v>17:42:36.693</v>
      </c>
      <c r="CN144">
        <v>693163547</v>
      </c>
      <c r="CQ144">
        <v>0</v>
      </c>
      <c r="CR144">
        <v>4000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2</v>
      </c>
      <c r="DC144">
        <v>0</v>
      </c>
      <c r="DD144">
        <v>2</v>
      </c>
      <c r="DE144">
        <v>0</v>
      </c>
      <c r="DF144">
        <v>7</v>
      </c>
      <c r="DG144">
        <v>7</v>
      </c>
      <c r="DH144" t="s">
        <v>124</v>
      </c>
      <c r="DI144">
        <v>71</v>
      </c>
      <c r="DJ144">
        <v>1</v>
      </c>
      <c r="DK144" t="s">
        <v>134</v>
      </c>
      <c r="DL144" t="s">
        <v>135</v>
      </c>
      <c r="DO144">
        <v>11334731</v>
      </c>
      <c r="DQ144">
        <v>0</v>
      </c>
      <c r="DR144">
        <v>0</v>
      </c>
      <c r="DS144">
        <v>1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</row>
    <row r="145" spans="1:131" x14ac:dyDescent="0.35">
      <c r="A145" s="2" t="str">
        <f>"17:42:37.927"</f>
        <v>17:42:37.927</v>
      </c>
      <c r="B145" s="4">
        <f t="shared" si="29"/>
        <v>63757.927000000003</v>
      </c>
      <c r="C145" s="4">
        <f t="shared" si="23"/>
        <v>157.92700000000332</v>
      </c>
      <c r="D145" s="3">
        <f t="shared" si="24"/>
        <v>0.73793896990740748</v>
      </c>
      <c r="E145" s="2">
        <f t="shared" si="25"/>
        <v>0.73793896990740748</v>
      </c>
      <c r="G145" t="str">
        <f t="shared" si="20"/>
        <v>FFDFD7C0</v>
      </c>
      <c r="H145" t="s">
        <v>126</v>
      </c>
      <c r="I145">
        <v>8</v>
      </c>
      <c r="J145">
        <v>1008</v>
      </c>
      <c r="K145" t="s">
        <v>129</v>
      </c>
      <c r="N145" t="s">
        <v>127</v>
      </c>
      <c r="O145">
        <v>0</v>
      </c>
      <c r="P145">
        <v>3</v>
      </c>
      <c r="Q145">
        <v>0</v>
      </c>
      <c r="R145">
        <v>2</v>
      </c>
      <c r="S145">
        <v>1</v>
      </c>
      <c r="T145">
        <v>0</v>
      </c>
      <c r="U145">
        <v>0</v>
      </c>
      <c r="W145" t="str">
        <f>"17:42:37.672"</f>
        <v>17:42:37.672</v>
      </c>
      <c r="X145" t="str">
        <f>"17:42:37.572"</f>
        <v>17:42:37.572</v>
      </c>
      <c r="Y145" t="str">
        <f t="shared" si="21"/>
        <v>A7C771</v>
      </c>
      <c r="Z145">
        <v>0</v>
      </c>
      <c r="AA145">
        <v>0</v>
      </c>
      <c r="AB145">
        <v>2</v>
      </c>
      <c r="AC145">
        <v>0</v>
      </c>
      <c r="AE145">
        <v>0</v>
      </c>
      <c r="AF145">
        <v>8</v>
      </c>
      <c r="AG145">
        <v>3</v>
      </c>
      <c r="AH145">
        <v>0</v>
      </c>
      <c r="AI145">
        <v>9</v>
      </c>
      <c r="AJ145" t="s">
        <v>125</v>
      </c>
      <c r="AK145">
        <v>0</v>
      </c>
      <c r="AL145">
        <v>3</v>
      </c>
      <c r="AM145">
        <v>2</v>
      </c>
      <c r="AN145">
        <v>1</v>
      </c>
      <c r="AO145" t="s">
        <v>424</v>
      </c>
      <c r="AP145">
        <v>42.827883</v>
      </c>
      <c r="AQ145" t="s">
        <v>425</v>
      </c>
      <c r="AR145">
        <v>-77.650638000000001</v>
      </c>
      <c r="AS145">
        <v>25</v>
      </c>
      <c r="AT145">
        <v>3625</v>
      </c>
      <c r="AU145" t="s">
        <v>123</v>
      </c>
      <c r="AV145">
        <v>96</v>
      </c>
      <c r="AW145">
        <v>154</v>
      </c>
      <c r="AX145">
        <v>128</v>
      </c>
      <c r="AZ145">
        <f t="shared" si="26"/>
        <v>9216</v>
      </c>
      <c r="BA145">
        <f t="shared" si="27"/>
        <v>23716</v>
      </c>
      <c r="BB145" s="1">
        <f t="shared" si="28"/>
        <v>181.47176088857461</v>
      </c>
      <c r="BJ145">
        <v>1404</v>
      </c>
      <c r="BK145">
        <v>1</v>
      </c>
      <c r="BL145" t="str">
        <f t="shared" si="22"/>
        <v xml:space="preserve">N600C   </v>
      </c>
      <c r="BM145">
        <v>2</v>
      </c>
      <c r="BO145">
        <v>0</v>
      </c>
      <c r="BP145">
        <v>0</v>
      </c>
      <c r="BQ145">
        <v>0</v>
      </c>
      <c r="BR145">
        <v>3725</v>
      </c>
      <c r="BS145">
        <v>100</v>
      </c>
      <c r="BT145" t="s">
        <v>128</v>
      </c>
      <c r="BU145">
        <v>0</v>
      </c>
      <c r="BV145">
        <v>0</v>
      </c>
      <c r="BW145">
        <v>0</v>
      </c>
      <c r="BX145">
        <v>1</v>
      </c>
      <c r="CA145">
        <v>0</v>
      </c>
      <c r="CB145">
        <v>0</v>
      </c>
      <c r="CC145">
        <v>0</v>
      </c>
      <c r="CM145" t="str">
        <f>"17:42:37.677"</f>
        <v>17:42:37.677</v>
      </c>
      <c r="CN145">
        <v>677353706</v>
      </c>
      <c r="CQ145">
        <v>0</v>
      </c>
      <c r="CR145">
        <v>4000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2</v>
      </c>
      <c r="DC145">
        <v>0</v>
      </c>
      <c r="DD145">
        <v>2</v>
      </c>
      <c r="DE145">
        <v>0</v>
      </c>
      <c r="DF145">
        <v>7</v>
      </c>
      <c r="DG145">
        <v>7</v>
      </c>
      <c r="DH145" t="s">
        <v>124</v>
      </c>
      <c r="DI145">
        <v>71</v>
      </c>
      <c r="DJ145">
        <v>1</v>
      </c>
      <c r="DK145" t="s">
        <v>134</v>
      </c>
      <c r="DL145" t="s">
        <v>135</v>
      </c>
      <c r="DO145">
        <v>11335562</v>
      </c>
      <c r="DQ145">
        <v>0</v>
      </c>
      <c r="DR145">
        <v>0</v>
      </c>
      <c r="DS145">
        <v>1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</row>
    <row r="146" spans="1:131" x14ac:dyDescent="0.35">
      <c r="A146" s="2" t="str">
        <f>"17:42:39.177"</f>
        <v>17:42:39.177</v>
      </c>
      <c r="B146" s="4">
        <f t="shared" si="29"/>
        <v>63759.177000000011</v>
      </c>
      <c r="C146" s="4">
        <f t="shared" si="23"/>
        <v>159.17700000001059</v>
      </c>
      <c r="D146" s="3">
        <f t="shared" si="24"/>
        <v>0.73795343750000009</v>
      </c>
      <c r="E146" s="2">
        <f t="shared" si="25"/>
        <v>0.73795343750000009</v>
      </c>
      <c r="G146" t="str">
        <f t="shared" si="20"/>
        <v>FFDFD7C0</v>
      </c>
      <c r="H146" t="s">
        <v>126</v>
      </c>
      <c r="I146">
        <v>8</v>
      </c>
      <c r="J146">
        <v>1008</v>
      </c>
      <c r="K146" t="s">
        <v>129</v>
      </c>
      <c r="N146" t="s">
        <v>127</v>
      </c>
      <c r="O146">
        <v>0</v>
      </c>
      <c r="P146">
        <v>3</v>
      </c>
      <c r="Q146">
        <v>0</v>
      </c>
      <c r="R146">
        <v>2</v>
      </c>
      <c r="S146">
        <v>1</v>
      </c>
      <c r="T146">
        <v>0</v>
      </c>
      <c r="U146">
        <v>0</v>
      </c>
      <c r="W146" t="str">
        <f>"17:42:38.797"</f>
        <v>17:42:38.797</v>
      </c>
      <c r="X146" t="str">
        <f>"17:42:38.597"</f>
        <v>17:42:38.597</v>
      </c>
      <c r="Y146" t="str">
        <f t="shared" si="21"/>
        <v>A7C771</v>
      </c>
      <c r="Z146">
        <v>0</v>
      </c>
      <c r="AA146">
        <v>0</v>
      </c>
      <c r="AB146">
        <v>2</v>
      </c>
      <c r="AC146">
        <v>0</v>
      </c>
      <c r="AE146">
        <v>0</v>
      </c>
      <c r="AF146">
        <v>8</v>
      </c>
      <c r="AG146">
        <v>3</v>
      </c>
      <c r="AH146">
        <v>0</v>
      </c>
      <c r="AI146">
        <v>9</v>
      </c>
      <c r="AJ146" t="s">
        <v>125</v>
      </c>
      <c r="AK146">
        <v>0</v>
      </c>
      <c r="AL146">
        <v>3</v>
      </c>
      <c r="AM146">
        <v>2</v>
      </c>
      <c r="AN146">
        <v>1</v>
      </c>
      <c r="AO146" t="s">
        <v>426</v>
      </c>
      <c r="AP146">
        <v>42.828634000000001</v>
      </c>
      <c r="AQ146" t="s">
        <v>427</v>
      </c>
      <c r="AR146">
        <v>-77.649972000000005</v>
      </c>
      <c r="AS146">
        <v>25</v>
      </c>
      <c r="AT146">
        <v>3625</v>
      </c>
      <c r="AU146" t="s">
        <v>123</v>
      </c>
      <c r="AV146">
        <v>96</v>
      </c>
      <c r="AW146">
        <v>154</v>
      </c>
      <c r="AX146">
        <v>192</v>
      </c>
      <c r="AZ146">
        <f t="shared" si="26"/>
        <v>9216</v>
      </c>
      <c r="BA146">
        <f t="shared" si="27"/>
        <v>23716</v>
      </c>
      <c r="BB146" s="1">
        <f t="shared" si="28"/>
        <v>181.47176088857461</v>
      </c>
      <c r="BJ146">
        <v>1404</v>
      </c>
      <c r="BK146">
        <v>1</v>
      </c>
      <c r="BL146" t="str">
        <f t="shared" si="22"/>
        <v xml:space="preserve">N600C   </v>
      </c>
      <c r="BM146">
        <v>2</v>
      </c>
      <c r="BO146">
        <v>0</v>
      </c>
      <c r="BP146">
        <v>0</v>
      </c>
      <c r="BQ146">
        <v>0</v>
      </c>
      <c r="BR146">
        <v>3725</v>
      </c>
      <c r="BS146">
        <v>100</v>
      </c>
      <c r="BT146" t="s">
        <v>128</v>
      </c>
      <c r="BU146">
        <v>0</v>
      </c>
      <c r="BV146">
        <v>0</v>
      </c>
      <c r="BW146">
        <v>0</v>
      </c>
      <c r="BX146">
        <v>1</v>
      </c>
      <c r="CA146">
        <v>0</v>
      </c>
      <c r="CB146">
        <v>0</v>
      </c>
      <c r="CC146">
        <v>0</v>
      </c>
      <c r="CM146" t="str">
        <f>"17:42:38.798"</f>
        <v>17:42:38.798</v>
      </c>
      <c r="CN146">
        <v>797556652</v>
      </c>
      <c r="CQ146">
        <v>0</v>
      </c>
      <c r="CR146">
        <v>4000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2</v>
      </c>
      <c r="DC146">
        <v>0</v>
      </c>
      <c r="DD146">
        <v>2</v>
      </c>
      <c r="DE146">
        <v>0</v>
      </c>
      <c r="DF146">
        <v>7</v>
      </c>
      <c r="DG146">
        <v>7</v>
      </c>
      <c r="DH146" t="s">
        <v>124</v>
      </c>
      <c r="DI146">
        <v>71</v>
      </c>
      <c r="DJ146">
        <v>1</v>
      </c>
      <c r="DK146" t="s">
        <v>134</v>
      </c>
      <c r="DL146" t="s">
        <v>135</v>
      </c>
      <c r="DO146">
        <v>11336493</v>
      </c>
      <c r="DQ146">
        <v>0</v>
      </c>
      <c r="DR146">
        <v>0</v>
      </c>
      <c r="DS146">
        <v>1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</row>
    <row r="147" spans="1:131" x14ac:dyDescent="0.35">
      <c r="A147" s="2" t="str">
        <f>"17:42:40.271"</f>
        <v>17:42:40.271</v>
      </c>
      <c r="B147" s="4">
        <f t="shared" si="29"/>
        <v>63760.271000000001</v>
      </c>
      <c r="C147" s="4">
        <f t="shared" si="23"/>
        <v>160.27100000000064</v>
      </c>
      <c r="D147" s="3">
        <f t="shared" si="24"/>
        <v>0.73796609953703707</v>
      </c>
      <c r="E147" s="2">
        <f t="shared" si="25"/>
        <v>0.73796609953703707</v>
      </c>
      <c r="G147" t="str">
        <f t="shared" si="20"/>
        <v>FFDFD7C0</v>
      </c>
      <c r="H147" t="s">
        <v>126</v>
      </c>
      <c r="I147">
        <v>8</v>
      </c>
      <c r="J147">
        <v>1008</v>
      </c>
      <c r="K147" t="s">
        <v>129</v>
      </c>
      <c r="N147" t="s">
        <v>127</v>
      </c>
      <c r="O147">
        <v>0</v>
      </c>
      <c r="P147">
        <v>3</v>
      </c>
      <c r="Q147">
        <v>0</v>
      </c>
      <c r="R147">
        <v>2</v>
      </c>
      <c r="S147">
        <v>1</v>
      </c>
      <c r="T147">
        <v>0</v>
      </c>
      <c r="U147">
        <v>0</v>
      </c>
      <c r="W147" t="str">
        <f>"17:42:39.914"</f>
        <v>17:42:39.914</v>
      </c>
      <c r="X147" t="str">
        <f>"17:42:39.614"</f>
        <v>17:42:39.614</v>
      </c>
      <c r="Y147" t="str">
        <f t="shared" si="21"/>
        <v>A7C771</v>
      </c>
      <c r="Z147">
        <v>0</v>
      </c>
      <c r="AA147">
        <v>0</v>
      </c>
      <c r="AB147">
        <v>2</v>
      </c>
      <c r="AC147">
        <v>0</v>
      </c>
      <c r="AE147">
        <v>0</v>
      </c>
      <c r="AF147">
        <v>8</v>
      </c>
      <c r="AG147">
        <v>3</v>
      </c>
      <c r="AH147">
        <v>0</v>
      </c>
      <c r="AI147">
        <v>9</v>
      </c>
      <c r="AJ147" t="s">
        <v>125</v>
      </c>
      <c r="AK147">
        <v>0</v>
      </c>
      <c r="AL147">
        <v>3</v>
      </c>
      <c r="AM147">
        <v>2</v>
      </c>
      <c r="AN147">
        <v>1</v>
      </c>
      <c r="AO147" t="s">
        <v>428</v>
      </c>
      <c r="AP147">
        <v>42.829448999999997</v>
      </c>
      <c r="AQ147" t="s">
        <v>429</v>
      </c>
      <c r="AR147">
        <v>-77.649349999999998</v>
      </c>
      <c r="AS147">
        <v>25</v>
      </c>
      <c r="AT147">
        <v>3625</v>
      </c>
      <c r="AU147" t="s">
        <v>123</v>
      </c>
      <c r="AV147">
        <v>97</v>
      </c>
      <c r="AW147">
        <v>154</v>
      </c>
      <c r="AX147">
        <v>128</v>
      </c>
      <c r="AZ147">
        <f t="shared" si="26"/>
        <v>9409</v>
      </c>
      <c r="BA147">
        <f t="shared" si="27"/>
        <v>23716</v>
      </c>
      <c r="BB147" s="1">
        <f t="shared" si="28"/>
        <v>182.00274723201295</v>
      </c>
      <c r="BJ147">
        <v>1404</v>
      </c>
      <c r="BK147">
        <v>1</v>
      </c>
      <c r="BL147" t="str">
        <f t="shared" si="22"/>
        <v xml:space="preserve">N600C   </v>
      </c>
      <c r="BM147">
        <v>2</v>
      </c>
      <c r="BO147">
        <v>0</v>
      </c>
      <c r="BP147">
        <v>0</v>
      </c>
      <c r="BQ147">
        <v>0</v>
      </c>
      <c r="BR147">
        <v>3725</v>
      </c>
      <c r="BS147">
        <v>100</v>
      </c>
      <c r="BT147" t="s">
        <v>128</v>
      </c>
      <c r="BU147">
        <v>0</v>
      </c>
      <c r="BV147">
        <v>0</v>
      </c>
      <c r="BW147">
        <v>0</v>
      </c>
      <c r="BX147">
        <v>1</v>
      </c>
      <c r="CA147">
        <v>0</v>
      </c>
      <c r="CB147">
        <v>0</v>
      </c>
      <c r="CC147">
        <v>0</v>
      </c>
      <c r="CM147" t="str">
        <f>"17:42:39.918"</f>
        <v>17:42:39.918</v>
      </c>
      <c r="CN147">
        <v>917816093</v>
      </c>
      <c r="CQ147">
        <v>0</v>
      </c>
      <c r="CR147">
        <v>4000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2</v>
      </c>
      <c r="DC147">
        <v>0</v>
      </c>
      <c r="DD147">
        <v>2</v>
      </c>
      <c r="DE147">
        <v>0</v>
      </c>
      <c r="DF147">
        <v>7</v>
      </c>
      <c r="DG147">
        <v>7</v>
      </c>
      <c r="DH147" t="s">
        <v>124</v>
      </c>
      <c r="DI147">
        <v>407</v>
      </c>
      <c r="DJ147">
        <v>3</v>
      </c>
      <c r="DK147" t="s">
        <v>132</v>
      </c>
      <c r="DL147" t="s">
        <v>133</v>
      </c>
      <c r="DO147">
        <v>1373666</v>
      </c>
      <c r="DQ147">
        <v>0</v>
      </c>
      <c r="DR147">
        <v>0</v>
      </c>
      <c r="DS147">
        <v>1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</row>
    <row r="148" spans="1:131" x14ac:dyDescent="0.35">
      <c r="A148" s="2" t="str">
        <f>"17:42:41.099"</f>
        <v>17:42:41.099</v>
      </c>
      <c r="B148" s="4">
        <f t="shared" si="29"/>
        <v>63761.099000000002</v>
      </c>
      <c r="C148" s="4">
        <f t="shared" si="23"/>
        <v>161.09900000000198</v>
      </c>
      <c r="D148" s="3">
        <f t="shared" si="24"/>
        <v>0.73797568287037041</v>
      </c>
      <c r="E148" s="2">
        <f t="shared" si="25"/>
        <v>0.73797568287037041</v>
      </c>
      <c r="G148" t="str">
        <f t="shared" si="20"/>
        <v>FFDFD7C0</v>
      </c>
      <c r="H148" t="s">
        <v>126</v>
      </c>
      <c r="I148">
        <v>8</v>
      </c>
      <c r="J148">
        <v>1008</v>
      </c>
      <c r="K148" t="s">
        <v>129</v>
      </c>
      <c r="N148" t="s">
        <v>127</v>
      </c>
      <c r="O148">
        <v>0</v>
      </c>
      <c r="P148">
        <v>3</v>
      </c>
      <c r="Q148">
        <v>0</v>
      </c>
      <c r="R148">
        <v>2</v>
      </c>
      <c r="S148">
        <v>1</v>
      </c>
      <c r="T148">
        <v>0</v>
      </c>
      <c r="U148">
        <v>0</v>
      </c>
      <c r="W148" t="str">
        <f>"17:42:40.836"</f>
        <v>17:42:40.836</v>
      </c>
      <c r="X148" t="str">
        <f>"17:42:40.536"</f>
        <v>17:42:40.536</v>
      </c>
      <c r="Y148" t="str">
        <f t="shared" si="21"/>
        <v>A7C771</v>
      </c>
      <c r="Z148">
        <v>0</v>
      </c>
      <c r="AA148">
        <v>0</v>
      </c>
      <c r="AB148">
        <v>2</v>
      </c>
      <c r="AC148">
        <v>0</v>
      </c>
      <c r="AE148">
        <v>0</v>
      </c>
      <c r="AF148">
        <v>8</v>
      </c>
      <c r="AG148">
        <v>3</v>
      </c>
      <c r="AH148">
        <v>0</v>
      </c>
      <c r="AI148">
        <v>9</v>
      </c>
      <c r="AJ148" t="s">
        <v>125</v>
      </c>
      <c r="AK148">
        <v>0</v>
      </c>
      <c r="AL148">
        <v>3</v>
      </c>
      <c r="AM148">
        <v>2</v>
      </c>
      <c r="AN148">
        <v>1</v>
      </c>
      <c r="AO148" t="s">
        <v>430</v>
      </c>
      <c r="AP148">
        <v>42.830157</v>
      </c>
      <c r="AQ148" t="s">
        <v>431</v>
      </c>
      <c r="AR148">
        <v>-77.648685</v>
      </c>
      <c r="AS148">
        <v>25</v>
      </c>
      <c r="AT148">
        <v>3625</v>
      </c>
      <c r="AU148" t="s">
        <v>123</v>
      </c>
      <c r="AV148">
        <v>97</v>
      </c>
      <c r="AW148">
        <v>154</v>
      </c>
      <c r="AX148">
        <v>64</v>
      </c>
      <c r="AZ148">
        <f t="shared" si="26"/>
        <v>9409</v>
      </c>
      <c r="BA148">
        <f t="shared" si="27"/>
        <v>23716</v>
      </c>
      <c r="BB148" s="1">
        <f t="shared" si="28"/>
        <v>182.00274723201295</v>
      </c>
      <c r="BJ148">
        <v>1404</v>
      </c>
      <c r="BK148">
        <v>1</v>
      </c>
      <c r="BL148" t="str">
        <f t="shared" si="22"/>
        <v xml:space="preserve">N600C   </v>
      </c>
      <c r="BM148">
        <v>2</v>
      </c>
      <c r="BO148">
        <v>0</v>
      </c>
      <c r="BP148">
        <v>0</v>
      </c>
      <c r="BQ148">
        <v>0</v>
      </c>
      <c r="BR148">
        <v>3725</v>
      </c>
      <c r="BS148">
        <v>100</v>
      </c>
      <c r="BT148" t="s">
        <v>128</v>
      </c>
      <c r="BU148">
        <v>0</v>
      </c>
      <c r="BV148">
        <v>0</v>
      </c>
      <c r="BW148">
        <v>0</v>
      </c>
      <c r="BX148">
        <v>1</v>
      </c>
      <c r="CA148">
        <v>0</v>
      </c>
      <c r="CB148">
        <v>0</v>
      </c>
      <c r="CC148">
        <v>0</v>
      </c>
      <c r="CM148" t="str">
        <f>"17:42:40.838"</f>
        <v>17:42:40.838</v>
      </c>
      <c r="CN148">
        <v>837936784</v>
      </c>
      <c r="CQ148">
        <v>0</v>
      </c>
      <c r="CR148">
        <v>4000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2</v>
      </c>
      <c r="DC148">
        <v>0</v>
      </c>
      <c r="DD148">
        <v>2</v>
      </c>
      <c r="DE148">
        <v>0</v>
      </c>
      <c r="DF148">
        <v>7</v>
      </c>
      <c r="DG148">
        <v>7</v>
      </c>
      <c r="DH148" t="s">
        <v>124</v>
      </c>
      <c r="DI148">
        <v>71</v>
      </c>
      <c r="DJ148">
        <v>1</v>
      </c>
      <c r="DK148" t="s">
        <v>134</v>
      </c>
      <c r="DL148" t="s">
        <v>135</v>
      </c>
      <c r="DO148">
        <v>11338386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</row>
    <row r="149" spans="1:131" x14ac:dyDescent="0.35">
      <c r="A149" s="2" t="str">
        <f>"17:42:42.053"</f>
        <v>17:42:42.053</v>
      </c>
      <c r="B149" s="4">
        <f t="shared" si="29"/>
        <v>63762.053</v>
      </c>
      <c r="C149" s="4">
        <f t="shared" si="23"/>
        <v>162.05299999999988</v>
      </c>
      <c r="D149" s="3">
        <f t="shared" si="24"/>
        <v>0.73798672453703706</v>
      </c>
      <c r="E149" s="2">
        <f t="shared" si="25"/>
        <v>0.73798672453703706</v>
      </c>
      <c r="G149" t="str">
        <f t="shared" si="20"/>
        <v>FFDFD7C0</v>
      </c>
      <c r="H149" t="s">
        <v>126</v>
      </c>
      <c r="I149">
        <v>8</v>
      </c>
      <c r="J149">
        <v>1008</v>
      </c>
      <c r="K149" t="s">
        <v>129</v>
      </c>
      <c r="N149" t="s">
        <v>127</v>
      </c>
      <c r="O149">
        <v>0</v>
      </c>
      <c r="P149">
        <v>3</v>
      </c>
      <c r="Q149">
        <v>0</v>
      </c>
      <c r="R149">
        <v>2</v>
      </c>
      <c r="S149">
        <v>1</v>
      </c>
      <c r="T149">
        <v>0</v>
      </c>
      <c r="U149">
        <v>0</v>
      </c>
      <c r="W149" t="str">
        <f>"17:42:41.797"</f>
        <v>17:42:41.797</v>
      </c>
      <c r="X149" t="str">
        <f>"17:42:41.597"</f>
        <v>17:42:41.597</v>
      </c>
      <c r="Y149" t="str">
        <f t="shared" si="21"/>
        <v>A7C771</v>
      </c>
      <c r="Z149">
        <v>0</v>
      </c>
      <c r="AA149">
        <v>0</v>
      </c>
      <c r="AB149">
        <v>2</v>
      </c>
      <c r="AC149">
        <v>0</v>
      </c>
      <c r="AE149">
        <v>0</v>
      </c>
      <c r="AF149">
        <v>8</v>
      </c>
      <c r="AG149">
        <v>3</v>
      </c>
      <c r="AH149">
        <v>0</v>
      </c>
      <c r="AI149">
        <v>9</v>
      </c>
      <c r="AJ149" t="s">
        <v>125</v>
      </c>
      <c r="AK149">
        <v>0</v>
      </c>
      <c r="AL149">
        <v>3</v>
      </c>
      <c r="AM149">
        <v>2</v>
      </c>
      <c r="AN149">
        <v>1</v>
      </c>
      <c r="AO149" t="s">
        <v>432</v>
      </c>
      <c r="AP149">
        <v>42.830801000000001</v>
      </c>
      <c r="AQ149" t="s">
        <v>433</v>
      </c>
      <c r="AR149">
        <v>-77.648169999999993</v>
      </c>
      <c r="AS149">
        <v>25</v>
      </c>
      <c r="AT149">
        <v>3625</v>
      </c>
      <c r="AU149" t="s">
        <v>123</v>
      </c>
      <c r="AV149">
        <v>97</v>
      </c>
      <c r="AW149">
        <v>154</v>
      </c>
      <c r="AX149">
        <v>64</v>
      </c>
      <c r="AZ149">
        <f t="shared" si="26"/>
        <v>9409</v>
      </c>
      <c r="BA149">
        <f t="shared" si="27"/>
        <v>23716</v>
      </c>
      <c r="BB149" s="1">
        <f t="shared" si="28"/>
        <v>182.00274723201295</v>
      </c>
      <c r="BJ149">
        <v>1404</v>
      </c>
      <c r="BK149">
        <v>1</v>
      </c>
      <c r="BL149" t="str">
        <f t="shared" si="22"/>
        <v xml:space="preserve">N600C   </v>
      </c>
      <c r="BM149">
        <v>2</v>
      </c>
      <c r="BO149">
        <v>0</v>
      </c>
      <c r="BP149">
        <v>0</v>
      </c>
      <c r="BQ149">
        <v>0</v>
      </c>
      <c r="BR149">
        <v>3725</v>
      </c>
      <c r="BS149">
        <v>100</v>
      </c>
      <c r="BT149" t="s">
        <v>128</v>
      </c>
      <c r="BU149">
        <v>0</v>
      </c>
      <c r="BV149">
        <v>0</v>
      </c>
      <c r="BW149">
        <v>0</v>
      </c>
      <c r="BX149">
        <v>1</v>
      </c>
      <c r="CA149">
        <v>0</v>
      </c>
      <c r="CB149">
        <v>0</v>
      </c>
      <c r="CC149">
        <v>0</v>
      </c>
      <c r="CM149" t="str">
        <f>"17:42:41.798"</f>
        <v>17:42:41.798</v>
      </c>
      <c r="CN149">
        <v>798107934</v>
      </c>
      <c r="CQ149">
        <v>0</v>
      </c>
      <c r="CR149">
        <v>4000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2</v>
      </c>
      <c r="DC149">
        <v>0</v>
      </c>
      <c r="DD149">
        <v>2</v>
      </c>
      <c r="DE149">
        <v>0</v>
      </c>
      <c r="DF149">
        <v>7</v>
      </c>
      <c r="DG149">
        <v>7</v>
      </c>
      <c r="DH149" t="s">
        <v>124</v>
      </c>
      <c r="DI149">
        <v>71</v>
      </c>
      <c r="DJ149">
        <v>1</v>
      </c>
      <c r="DK149" t="s">
        <v>134</v>
      </c>
      <c r="DL149" t="s">
        <v>135</v>
      </c>
      <c r="DO149">
        <v>11339279</v>
      </c>
      <c r="DQ149">
        <v>0</v>
      </c>
      <c r="DR149">
        <v>0</v>
      </c>
      <c r="DS149">
        <v>1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</row>
    <row r="150" spans="1:131" x14ac:dyDescent="0.35">
      <c r="A150" s="2" t="str">
        <f>"17:42:43.257"</f>
        <v>17:42:43.257</v>
      </c>
      <c r="B150" s="4">
        <f t="shared" si="29"/>
        <v>63763.256999999998</v>
      </c>
      <c r="C150" s="4">
        <f t="shared" si="23"/>
        <v>163.25699999999779</v>
      </c>
      <c r="D150" s="3">
        <f t="shared" si="24"/>
        <v>0.73800065972222217</v>
      </c>
      <c r="E150" s="2">
        <f t="shared" si="25"/>
        <v>0.73800065972222217</v>
      </c>
      <c r="G150" t="str">
        <f t="shared" si="20"/>
        <v>FFDFD7C0</v>
      </c>
      <c r="H150" t="s">
        <v>126</v>
      </c>
      <c r="I150">
        <v>8</v>
      </c>
      <c r="J150">
        <v>1008</v>
      </c>
      <c r="K150" t="s">
        <v>129</v>
      </c>
      <c r="N150" t="s">
        <v>127</v>
      </c>
      <c r="O150">
        <v>0</v>
      </c>
      <c r="P150">
        <v>3</v>
      </c>
      <c r="Q150">
        <v>0</v>
      </c>
      <c r="R150">
        <v>2</v>
      </c>
      <c r="S150">
        <v>1</v>
      </c>
      <c r="T150">
        <v>0</v>
      </c>
      <c r="U150">
        <v>0</v>
      </c>
      <c r="W150" t="str">
        <f>"17:42:42.820"</f>
        <v>17:42:42.820</v>
      </c>
      <c r="X150" t="str">
        <f>"17:42:42.520"</f>
        <v>17:42:42.520</v>
      </c>
      <c r="Y150" t="str">
        <f t="shared" si="21"/>
        <v>A7C771</v>
      </c>
      <c r="Z150">
        <v>0</v>
      </c>
      <c r="AA150">
        <v>0</v>
      </c>
      <c r="AB150">
        <v>2</v>
      </c>
      <c r="AC150">
        <v>0</v>
      </c>
      <c r="AE150">
        <v>0</v>
      </c>
      <c r="AF150">
        <v>8</v>
      </c>
      <c r="AG150">
        <v>3</v>
      </c>
      <c r="AH150">
        <v>0</v>
      </c>
      <c r="AI150">
        <v>9</v>
      </c>
      <c r="AJ150" t="s">
        <v>125</v>
      </c>
      <c r="AK150">
        <v>0</v>
      </c>
      <c r="AL150">
        <v>3</v>
      </c>
      <c r="AM150">
        <v>2</v>
      </c>
      <c r="AN150">
        <v>1</v>
      </c>
      <c r="AO150" t="s">
        <v>434</v>
      </c>
      <c r="AP150">
        <v>42.831530999999998</v>
      </c>
      <c r="AQ150" t="s">
        <v>435</v>
      </c>
      <c r="AR150">
        <v>-77.647525999999999</v>
      </c>
      <c r="AS150">
        <v>25</v>
      </c>
      <c r="AT150">
        <v>3625</v>
      </c>
      <c r="AU150" t="s">
        <v>123</v>
      </c>
      <c r="AV150">
        <v>97</v>
      </c>
      <c r="AW150">
        <v>154</v>
      </c>
      <c r="AX150">
        <v>-64</v>
      </c>
      <c r="AZ150">
        <f t="shared" si="26"/>
        <v>9409</v>
      </c>
      <c r="BA150">
        <f t="shared" si="27"/>
        <v>23716</v>
      </c>
      <c r="BB150" s="1">
        <f t="shared" si="28"/>
        <v>182.00274723201295</v>
      </c>
      <c r="BJ150">
        <v>1404</v>
      </c>
      <c r="BK150">
        <v>1</v>
      </c>
      <c r="BL150" t="str">
        <f t="shared" si="22"/>
        <v xml:space="preserve">N600C   </v>
      </c>
      <c r="BM150">
        <v>2</v>
      </c>
      <c r="BO150">
        <v>0</v>
      </c>
      <c r="BP150">
        <v>0</v>
      </c>
      <c r="BQ150">
        <v>0</v>
      </c>
      <c r="BR150">
        <v>3725</v>
      </c>
      <c r="BS150">
        <v>100</v>
      </c>
      <c r="BT150" t="s">
        <v>128</v>
      </c>
      <c r="BU150">
        <v>0</v>
      </c>
      <c r="BV150">
        <v>0</v>
      </c>
      <c r="BW150">
        <v>0</v>
      </c>
      <c r="BX150">
        <v>1</v>
      </c>
      <c r="CA150">
        <v>0</v>
      </c>
      <c r="CB150">
        <v>0</v>
      </c>
      <c r="CC150">
        <v>0</v>
      </c>
      <c r="CM150" t="str">
        <f>"17:42:42.822"</f>
        <v>17:42:42.822</v>
      </c>
      <c r="CN150">
        <v>822291665</v>
      </c>
      <c r="CQ150">
        <v>0</v>
      </c>
      <c r="CR150">
        <v>4000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2</v>
      </c>
      <c r="DC150">
        <v>0</v>
      </c>
      <c r="DD150">
        <v>2</v>
      </c>
      <c r="DE150">
        <v>0</v>
      </c>
      <c r="DF150">
        <v>7</v>
      </c>
      <c r="DG150">
        <v>7</v>
      </c>
      <c r="DH150" t="s">
        <v>124</v>
      </c>
      <c r="DI150">
        <v>71</v>
      </c>
      <c r="DJ150">
        <v>1</v>
      </c>
      <c r="DK150" t="s">
        <v>134</v>
      </c>
      <c r="DL150" t="s">
        <v>135</v>
      </c>
      <c r="DO150">
        <v>11340097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</row>
    <row r="151" spans="1:131" x14ac:dyDescent="0.35">
      <c r="A151" s="2" t="str">
        <f>"17:42:44.036"</f>
        <v>17:42:44.036</v>
      </c>
      <c r="B151" s="4">
        <f t="shared" si="29"/>
        <v>63764.036</v>
      </c>
      <c r="C151" s="4">
        <f t="shared" si="23"/>
        <v>164.03600000000006</v>
      </c>
      <c r="D151" s="3">
        <f t="shared" si="24"/>
        <v>0.73800967592592592</v>
      </c>
      <c r="E151" s="2">
        <f t="shared" si="25"/>
        <v>0.73800967592592592</v>
      </c>
      <c r="G151" t="str">
        <f t="shared" si="20"/>
        <v>FFDFD7C0</v>
      </c>
      <c r="H151" t="s">
        <v>126</v>
      </c>
      <c r="I151">
        <v>8</v>
      </c>
      <c r="J151">
        <v>1008</v>
      </c>
      <c r="K151" t="s">
        <v>129</v>
      </c>
      <c r="N151" t="s">
        <v>127</v>
      </c>
      <c r="O151">
        <v>0</v>
      </c>
      <c r="P151">
        <v>3</v>
      </c>
      <c r="Q151">
        <v>0</v>
      </c>
      <c r="R151">
        <v>2</v>
      </c>
      <c r="S151">
        <v>1</v>
      </c>
      <c r="T151">
        <v>0</v>
      </c>
      <c r="U151">
        <v>0</v>
      </c>
      <c r="W151" t="str">
        <f>"17:42:43.836"</f>
        <v>17:42:43.836</v>
      </c>
      <c r="X151" t="str">
        <f>"17:42:43.536"</f>
        <v>17:42:43.536</v>
      </c>
      <c r="Y151" t="str">
        <f t="shared" si="21"/>
        <v>A7C771</v>
      </c>
      <c r="Z151">
        <v>0</v>
      </c>
      <c r="AA151">
        <v>0</v>
      </c>
      <c r="AB151">
        <v>2</v>
      </c>
      <c r="AC151">
        <v>0</v>
      </c>
      <c r="AE151">
        <v>0</v>
      </c>
      <c r="AF151">
        <v>8</v>
      </c>
      <c r="AG151">
        <v>3</v>
      </c>
      <c r="AH151">
        <v>0</v>
      </c>
      <c r="AI151">
        <v>9</v>
      </c>
      <c r="AJ151" t="s">
        <v>125</v>
      </c>
      <c r="AK151">
        <v>0</v>
      </c>
      <c r="AL151">
        <v>3</v>
      </c>
      <c r="AM151">
        <v>2</v>
      </c>
      <c r="AN151">
        <v>1</v>
      </c>
      <c r="AO151" t="s">
        <v>436</v>
      </c>
      <c r="AP151">
        <v>42.832303000000003</v>
      </c>
      <c r="AQ151" t="s">
        <v>437</v>
      </c>
      <c r="AR151">
        <v>-77.646861000000001</v>
      </c>
      <c r="AS151">
        <v>25</v>
      </c>
      <c r="AT151">
        <v>3625</v>
      </c>
      <c r="AU151" t="s">
        <v>123</v>
      </c>
      <c r="AV151">
        <v>98</v>
      </c>
      <c r="AW151">
        <v>154</v>
      </c>
      <c r="AX151">
        <v>-128</v>
      </c>
      <c r="AZ151">
        <f t="shared" si="26"/>
        <v>9604</v>
      </c>
      <c r="BA151">
        <f t="shared" si="27"/>
        <v>23716</v>
      </c>
      <c r="BB151" s="1">
        <f t="shared" si="28"/>
        <v>182.53766734567415</v>
      </c>
      <c r="BJ151">
        <v>1404</v>
      </c>
      <c r="BK151">
        <v>1</v>
      </c>
      <c r="BL151" t="str">
        <f t="shared" si="22"/>
        <v xml:space="preserve">N600C   </v>
      </c>
      <c r="BM151">
        <v>2</v>
      </c>
      <c r="BO151">
        <v>0</v>
      </c>
      <c r="BP151">
        <v>0</v>
      </c>
      <c r="BQ151">
        <v>0</v>
      </c>
      <c r="BR151">
        <v>3725</v>
      </c>
      <c r="BS151">
        <v>100</v>
      </c>
      <c r="BT151" t="s">
        <v>128</v>
      </c>
      <c r="BU151">
        <v>0</v>
      </c>
      <c r="BV151">
        <v>0</v>
      </c>
      <c r="BW151">
        <v>0</v>
      </c>
      <c r="BX151">
        <v>1</v>
      </c>
      <c r="CA151">
        <v>0</v>
      </c>
      <c r="CB151">
        <v>0</v>
      </c>
      <c r="CC151">
        <v>0</v>
      </c>
      <c r="CM151" t="str">
        <f>"17:42:43.838"</f>
        <v>17:42:43.838</v>
      </c>
      <c r="CN151">
        <v>838481375</v>
      </c>
      <c r="CQ151">
        <v>0</v>
      </c>
      <c r="CR151">
        <v>4000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2</v>
      </c>
      <c r="DC151">
        <v>0</v>
      </c>
      <c r="DD151">
        <v>2</v>
      </c>
      <c r="DE151">
        <v>0</v>
      </c>
      <c r="DF151">
        <v>7</v>
      </c>
      <c r="DG151">
        <v>7</v>
      </c>
      <c r="DH151" t="s">
        <v>124</v>
      </c>
      <c r="DI151">
        <v>71</v>
      </c>
      <c r="DJ151">
        <v>1</v>
      </c>
      <c r="DK151" t="s">
        <v>134</v>
      </c>
      <c r="DL151" t="s">
        <v>135</v>
      </c>
      <c r="DO151">
        <v>11340955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</row>
    <row r="152" spans="1:131" x14ac:dyDescent="0.35">
      <c r="A152" s="2" t="str">
        <f>"17:42:45.146"</f>
        <v>17:42:45.146</v>
      </c>
      <c r="B152" s="4">
        <f t="shared" si="29"/>
        <v>63765.146000000008</v>
      </c>
      <c r="C152" s="4">
        <f t="shared" si="23"/>
        <v>165.14600000000792</v>
      </c>
      <c r="D152" s="3">
        <f t="shared" si="24"/>
        <v>0.7380225231481482</v>
      </c>
      <c r="E152" s="2">
        <f t="shared" si="25"/>
        <v>0.7380225231481482</v>
      </c>
      <c r="G152" t="str">
        <f t="shared" si="20"/>
        <v>FFDFD7C0</v>
      </c>
      <c r="H152" t="s">
        <v>126</v>
      </c>
      <c r="I152">
        <v>8</v>
      </c>
      <c r="J152">
        <v>1008</v>
      </c>
      <c r="K152" t="s">
        <v>129</v>
      </c>
      <c r="N152" t="s">
        <v>127</v>
      </c>
      <c r="O152">
        <v>0</v>
      </c>
      <c r="P152">
        <v>3</v>
      </c>
      <c r="Q152">
        <v>0</v>
      </c>
      <c r="R152">
        <v>2</v>
      </c>
      <c r="S152">
        <v>1</v>
      </c>
      <c r="T152">
        <v>0</v>
      </c>
      <c r="U152">
        <v>0</v>
      </c>
      <c r="W152" t="str">
        <f>"17:42:44.844"</f>
        <v>17:42:44.844</v>
      </c>
      <c r="X152" t="str">
        <f>"17:42:44.644"</f>
        <v>17:42:44.644</v>
      </c>
      <c r="Y152" t="str">
        <f t="shared" si="21"/>
        <v>A7C771</v>
      </c>
      <c r="Z152">
        <v>0</v>
      </c>
      <c r="AA152">
        <v>0</v>
      </c>
      <c r="AB152">
        <v>2</v>
      </c>
      <c r="AC152">
        <v>0</v>
      </c>
      <c r="AE152">
        <v>0</v>
      </c>
      <c r="AF152">
        <v>8</v>
      </c>
      <c r="AG152">
        <v>3</v>
      </c>
      <c r="AH152">
        <v>0</v>
      </c>
      <c r="AI152">
        <v>9</v>
      </c>
      <c r="AJ152" t="s">
        <v>125</v>
      </c>
      <c r="AK152">
        <v>0</v>
      </c>
      <c r="AL152">
        <v>3</v>
      </c>
      <c r="AM152">
        <v>2</v>
      </c>
      <c r="AN152">
        <v>1</v>
      </c>
      <c r="AO152" t="s">
        <v>438</v>
      </c>
      <c r="AP152">
        <v>42.832990000000002</v>
      </c>
      <c r="AQ152" t="s">
        <v>439</v>
      </c>
      <c r="AR152">
        <v>-77.646259999999998</v>
      </c>
      <c r="AS152">
        <v>25</v>
      </c>
      <c r="AT152">
        <v>3625</v>
      </c>
      <c r="AU152" t="s">
        <v>123</v>
      </c>
      <c r="AV152">
        <v>98</v>
      </c>
      <c r="AW152">
        <v>154</v>
      </c>
      <c r="AX152">
        <v>-192</v>
      </c>
      <c r="AZ152">
        <f t="shared" si="26"/>
        <v>9604</v>
      </c>
      <c r="BA152">
        <f t="shared" si="27"/>
        <v>23716</v>
      </c>
      <c r="BB152" s="1">
        <f t="shared" si="28"/>
        <v>182.53766734567415</v>
      </c>
      <c r="BJ152">
        <v>1404</v>
      </c>
      <c r="BK152">
        <v>1</v>
      </c>
      <c r="BL152" t="str">
        <f t="shared" si="22"/>
        <v xml:space="preserve">N600C   </v>
      </c>
      <c r="BM152">
        <v>2</v>
      </c>
      <c r="BO152">
        <v>0</v>
      </c>
      <c r="BP152">
        <v>0</v>
      </c>
      <c r="BQ152">
        <v>0</v>
      </c>
      <c r="BR152">
        <v>3725</v>
      </c>
      <c r="BS152">
        <v>100</v>
      </c>
      <c r="BT152" t="s">
        <v>128</v>
      </c>
      <c r="BU152">
        <v>0</v>
      </c>
      <c r="BV152">
        <v>0</v>
      </c>
      <c r="BW152">
        <v>0</v>
      </c>
      <c r="BX152">
        <v>1</v>
      </c>
      <c r="CA152">
        <v>0</v>
      </c>
      <c r="CB152">
        <v>0</v>
      </c>
      <c r="CC152">
        <v>0</v>
      </c>
      <c r="CM152" t="str">
        <f>"17:42:44.847"</f>
        <v>17:42:44.847</v>
      </c>
      <c r="CN152">
        <v>846718863</v>
      </c>
      <c r="CQ152">
        <v>0</v>
      </c>
      <c r="CR152">
        <v>4000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2</v>
      </c>
      <c r="DC152">
        <v>0</v>
      </c>
      <c r="DD152">
        <v>2</v>
      </c>
      <c r="DE152">
        <v>0</v>
      </c>
      <c r="DF152">
        <v>7</v>
      </c>
      <c r="DG152">
        <v>7</v>
      </c>
      <c r="DH152" t="s">
        <v>124</v>
      </c>
      <c r="DI152">
        <v>407</v>
      </c>
      <c r="DJ152">
        <v>3</v>
      </c>
      <c r="DK152" t="s">
        <v>132</v>
      </c>
      <c r="DL152" t="s">
        <v>133</v>
      </c>
      <c r="DO152">
        <v>1378538</v>
      </c>
      <c r="DQ152">
        <v>0</v>
      </c>
      <c r="DR152">
        <v>0</v>
      </c>
      <c r="DS152">
        <v>1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</row>
    <row r="153" spans="1:131" x14ac:dyDescent="0.35">
      <c r="A153" s="2" t="str">
        <f>"17:42:46.209"</f>
        <v>17:42:46.209</v>
      </c>
      <c r="B153" s="4">
        <f t="shared" si="29"/>
        <v>63766.209000000003</v>
      </c>
      <c r="C153" s="4">
        <f t="shared" si="23"/>
        <v>166.20900000000256</v>
      </c>
      <c r="D153" s="3">
        <f t="shared" si="24"/>
        <v>0.73803482638888895</v>
      </c>
      <c r="E153" s="2">
        <f t="shared" si="25"/>
        <v>0.73803482638888895</v>
      </c>
      <c r="G153" t="str">
        <f t="shared" si="20"/>
        <v>FFDFD7C0</v>
      </c>
      <c r="H153" t="s">
        <v>126</v>
      </c>
      <c r="I153">
        <v>8</v>
      </c>
      <c r="J153">
        <v>1008</v>
      </c>
      <c r="K153" t="s">
        <v>129</v>
      </c>
      <c r="N153" t="s">
        <v>127</v>
      </c>
      <c r="O153">
        <v>0</v>
      </c>
      <c r="P153">
        <v>3</v>
      </c>
      <c r="Q153">
        <v>0</v>
      </c>
      <c r="R153">
        <v>2</v>
      </c>
      <c r="S153">
        <v>1</v>
      </c>
      <c r="T153">
        <v>0</v>
      </c>
      <c r="U153">
        <v>0</v>
      </c>
      <c r="W153" t="str">
        <f>"17:42:45.961"</f>
        <v>17:42:45.961</v>
      </c>
      <c r="X153" t="str">
        <f>"17:42:45.661"</f>
        <v>17:42:45.661</v>
      </c>
      <c r="Y153" t="str">
        <f t="shared" si="21"/>
        <v>A7C771</v>
      </c>
      <c r="Z153">
        <v>0</v>
      </c>
      <c r="AA153">
        <v>0</v>
      </c>
      <c r="AB153">
        <v>2</v>
      </c>
      <c r="AC153">
        <v>0</v>
      </c>
      <c r="AE153">
        <v>0</v>
      </c>
      <c r="AF153">
        <v>8</v>
      </c>
      <c r="AG153">
        <v>3</v>
      </c>
      <c r="AH153">
        <v>0</v>
      </c>
      <c r="AI153">
        <v>9</v>
      </c>
      <c r="AJ153" t="s">
        <v>125</v>
      </c>
      <c r="AK153">
        <v>0</v>
      </c>
      <c r="AL153">
        <v>3</v>
      </c>
      <c r="AM153">
        <v>2</v>
      </c>
      <c r="AN153">
        <v>1</v>
      </c>
      <c r="AO153" t="s">
        <v>440</v>
      </c>
      <c r="AP153">
        <v>42.833762</v>
      </c>
      <c r="AQ153" t="s">
        <v>441</v>
      </c>
      <c r="AR153">
        <v>-77.645551999999995</v>
      </c>
      <c r="AS153">
        <v>25</v>
      </c>
      <c r="AT153">
        <v>3600</v>
      </c>
      <c r="AU153" t="s">
        <v>123</v>
      </c>
      <c r="AV153">
        <v>98</v>
      </c>
      <c r="AW153">
        <v>154</v>
      </c>
      <c r="AX153">
        <v>-192</v>
      </c>
      <c r="AZ153">
        <f t="shared" si="26"/>
        <v>9604</v>
      </c>
      <c r="BA153">
        <f t="shared" si="27"/>
        <v>23716</v>
      </c>
      <c r="BB153" s="1">
        <f t="shared" si="28"/>
        <v>182.53766734567415</v>
      </c>
      <c r="BJ153">
        <v>1404</v>
      </c>
      <c r="BK153">
        <v>1</v>
      </c>
      <c r="BL153" t="str">
        <f t="shared" si="22"/>
        <v xml:space="preserve">N600C   </v>
      </c>
      <c r="BM153">
        <v>2</v>
      </c>
      <c r="BO153">
        <v>0</v>
      </c>
      <c r="BP153">
        <v>0</v>
      </c>
      <c r="BQ153">
        <v>0</v>
      </c>
      <c r="BR153">
        <v>3725</v>
      </c>
      <c r="BS153">
        <v>125</v>
      </c>
      <c r="BT153" t="s">
        <v>128</v>
      </c>
      <c r="BU153">
        <v>0</v>
      </c>
      <c r="BV153">
        <v>0</v>
      </c>
      <c r="BW153">
        <v>0</v>
      </c>
      <c r="BX153">
        <v>1</v>
      </c>
      <c r="CA153">
        <v>0</v>
      </c>
      <c r="CB153">
        <v>0</v>
      </c>
      <c r="CC153">
        <v>0</v>
      </c>
      <c r="CM153" t="str">
        <f>"17:42:45.967"</f>
        <v>17:42:45.967</v>
      </c>
      <c r="CN153">
        <v>966923871</v>
      </c>
      <c r="CQ153">
        <v>0</v>
      </c>
      <c r="CR153">
        <v>4000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2</v>
      </c>
      <c r="DC153">
        <v>0</v>
      </c>
      <c r="DD153">
        <v>2</v>
      </c>
      <c r="DE153">
        <v>0</v>
      </c>
      <c r="DF153">
        <v>7</v>
      </c>
      <c r="DG153">
        <v>7</v>
      </c>
      <c r="DH153" t="s">
        <v>124</v>
      </c>
      <c r="DI153">
        <v>407</v>
      </c>
      <c r="DJ153">
        <v>3</v>
      </c>
      <c r="DK153" t="s">
        <v>132</v>
      </c>
      <c r="DL153" t="s">
        <v>133</v>
      </c>
      <c r="DO153">
        <v>1379675</v>
      </c>
      <c r="DQ153">
        <v>0</v>
      </c>
      <c r="DR153">
        <v>0</v>
      </c>
      <c r="DS153">
        <v>1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</row>
    <row r="154" spans="1:131" x14ac:dyDescent="0.35">
      <c r="A154" s="2" t="str">
        <f>"17:42:47.302"</f>
        <v>17:42:47.302</v>
      </c>
      <c r="B154" s="4">
        <f t="shared" si="29"/>
        <v>63767.302000000003</v>
      </c>
      <c r="C154" s="4">
        <f t="shared" si="23"/>
        <v>167.30200000000332</v>
      </c>
      <c r="D154" s="3">
        <f t="shared" si="24"/>
        <v>0.7380474768518519</v>
      </c>
      <c r="E154" s="2">
        <f t="shared" si="25"/>
        <v>0.7380474768518519</v>
      </c>
      <c r="G154" t="str">
        <f t="shared" si="20"/>
        <v>FFDFD7C0</v>
      </c>
      <c r="H154" t="s">
        <v>126</v>
      </c>
      <c r="I154">
        <v>8</v>
      </c>
      <c r="J154">
        <v>1008</v>
      </c>
      <c r="K154" t="s">
        <v>129</v>
      </c>
      <c r="N154" t="s">
        <v>127</v>
      </c>
      <c r="O154">
        <v>0</v>
      </c>
      <c r="P154">
        <v>3</v>
      </c>
      <c r="Q154">
        <v>0</v>
      </c>
      <c r="R154">
        <v>2</v>
      </c>
      <c r="S154">
        <v>1</v>
      </c>
      <c r="T154">
        <v>0</v>
      </c>
      <c r="U154">
        <v>0</v>
      </c>
      <c r="W154" t="str">
        <f>"17:42:47.070"</f>
        <v>17:42:47.070</v>
      </c>
      <c r="X154" t="str">
        <f>"17:42:46.670"</f>
        <v>17:42:46.670</v>
      </c>
      <c r="Y154" t="str">
        <f t="shared" si="21"/>
        <v>A7C771</v>
      </c>
      <c r="Z154">
        <v>0</v>
      </c>
      <c r="AA154">
        <v>0</v>
      </c>
      <c r="AB154">
        <v>2</v>
      </c>
      <c r="AC154">
        <v>0</v>
      </c>
      <c r="AE154">
        <v>0</v>
      </c>
      <c r="AF154">
        <v>8</v>
      </c>
      <c r="AG154">
        <v>3</v>
      </c>
      <c r="AH154">
        <v>0</v>
      </c>
      <c r="AI154">
        <v>9</v>
      </c>
      <c r="AJ154" t="s">
        <v>125</v>
      </c>
      <c r="AK154">
        <v>0</v>
      </c>
      <c r="AL154">
        <v>3</v>
      </c>
      <c r="AM154">
        <v>2</v>
      </c>
      <c r="AN154">
        <v>1</v>
      </c>
      <c r="AO154" t="s">
        <v>442</v>
      </c>
      <c r="AP154">
        <v>42.834578</v>
      </c>
      <c r="AQ154" t="s">
        <v>443</v>
      </c>
      <c r="AR154">
        <v>-77.644886999999997</v>
      </c>
      <c r="AS154">
        <v>25</v>
      </c>
      <c r="AT154">
        <v>3600</v>
      </c>
      <c r="AU154" t="s">
        <v>123</v>
      </c>
      <c r="AV154">
        <v>98</v>
      </c>
      <c r="AW154">
        <v>154</v>
      </c>
      <c r="AX154">
        <v>-128</v>
      </c>
      <c r="AZ154">
        <f t="shared" si="26"/>
        <v>9604</v>
      </c>
      <c r="BA154">
        <f t="shared" si="27"/>
        <v>23716</v>
      </c>
      <c r="BB154" s="1">
        <f t="shared" si="28"/>
        <v>182.53766734567415</v>
      </c>
      <c r="BJ154">
        <v>1404</v>
      </c>
      <c r="BK154">
        <v>1</v>
      </c>
      <c r="BL154" t="str">
        <f t="shared" si="22"/>
        <v xml:space="preserve">N600C   </v>
      </c>
      <c r="BM154">
        <v>2</v>
      </c>
      <c r="BO154">
        <v>0</v>
      </c>
      <c r="BP154">
        <v>0</v>
      </c>
      <c r="BQ154">
        <v>0</v>
      </c>
      <c r="BR154">
        <v>3700</v>
      </c>
      <c r="BS154">
        <v>100</v>
      </c>
      <c r="BT154" t="s">
        <v>128</v>
      </c>
      <c r="BU154">
        <v>0</v>
      </c>
      <c r="BV154">
        <v>0</v>
      </c>
      <c r="BW154">
        <v>0</v>
      </c>
      <c r="BX154">
        <v>1</v>
      </c>
      <c r="CA154">
        <v>0</v>
      </c>
      <c r="CB154">
        <v>0</v>
      </c>
      <c r="CC154">
        <v>0</v>
      </c>
      <c r="CM154" t="str">
        <f>"17:42:47.071"</f>
        <v>17:42:47.071</v>
      </c>
      <c r="CN154">
        <v>71079134</v>
      </c>
      <c r="CQ154">
        <v>0</v>
      </c>
      <c r="CR154">
        <v>4000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2</v>
      </c>
      <c r="DC154">
        <v>0</v>
      </c>
      <c r="DD154">
        <v>2</v>
      </c>
      <c r="DE154">
        <v>0</v>
      </c>
      <c r="DF154">
        <v>7</v>
      </c>
      <c r="DG154">
        <v>7</v>
      </c>
      <c r="DH154" t="s">
        <v>124</v>
      </c>
      <c r="DI154">
        <v>71</v>
      </c>
      <c r="DJ154">
        <v>1</v>
      </c>
      <c r="DK154" t="s">
        <v>134</v>
      </c>
      <c r="DL154" t="s">
        <v>135</v>
      </c>
      <c r="DO154">
        <v>11344054</v>
      </c>
      <c r="DQ154">
        <v>0</v>
      </c>
      <c r="DR154">
        <v>0</v>
      </c>
      <c r="DS154">
        <v>1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</row>
    <row r="155" spans="1:131" x14ac:dyDescent="0.35">
      <c r="A155" s="2" t="str">
        <f>"17:42:48.288"</f>
        <v>17:42:48.288</v>
      </c>
      <c r="B155" s="4">
        <f t="shared" si="29"/>
        <v>63768.288</v>
      </c>
      <c r="C155" s="4">
        <f t="shared" si="23"/>
        <v>168.28800000000047</v>
      </c>
      <c r="D155" s="3">
        <f t="shared" si="24"/>
        <v>0.73805888888888893</v>
      </c>
      <c r="E155" s="2">
        <f t="shared" si="25"/>
        <v>0.73805888888888893</v>
      </c>
      <c r="G155" t="str">
        <f t="shared" si="20"/>
        <v>FFDFD7C0</v>
      </c>
      <c r="H155" t="s">
        <v>126</v>
      </c>
      <c r="I155">
        <v>8</v>
      </c>
      <c r="J155">
        <v>1008</v>
      </c>
      <c r="K155" t="s">
        <v>129</v>
      </c>
      <c r="N155" t="s">
        <v>127</v>
      </c>
      <c r="O155">
        <v>0</v>
      </c>
      <c r="P155">
        <v>3</v>
      </c>
      <c r="Q155">
        <v>0</v>
      </c>
      <c r="R155">
        <v>2</v>
      </c>
      <c r="S155">
        <v>1</v>
      </c>
      <c r="T155">
        <v>0</v>
      </c>
      <c r="U155">
        <v>0</v>
      </c>
      <c r="W155" t="str">
        <f>"17:42:48.039"</f>
        <v>17:42:48.039</v>
      </c>
      <c r="X155" t="str">
        <f>"17:42:47.739"</f>
        <v>17:42:47.739</v>
      </c>
      <c r="Y155" t="str">
        <f t="shared" si="21"/>
        <v>A7C771</v>
      </c>
      <c r="Z155">
        <v>0</v>
      </c>
      <c r="AA155">
        <v>0</v>
      </c>
      <c r="AB155">
        <v>2</v>
      </c>
      <c r="AC155">
        <v>0</v>
      </c>
      <c r="AE155">
        <v>0</v>
      </c>
      <c r="AF155">
        <v>8</v>
      </c>
      <c r="AG155">
        <v>3</v>
      </c>
      <c r="AH155">
        <v>0</v>
      </c>
      <c r="AI155">
        <v>9</v>
      </c>
      <c r="AJ155" t="s">
        <v>125</v>
      </c>
      <c r="AK155">
        <v>0</v>
      </c>
      <c r="AL155">
        <v>3</v>
      </c>
      <c r="AM155">
        <v>2</v>
      </c>
      <c r="AN155">
        <v>1</v>
      </c>
      <c r="AO155" t="s">
        <v>444</v>
      </c>
      <c r="AP155">
        <v>42.835329000000002</v>
      </c>
      <c r="AQ155" t="s">
        <v>445</v>
      </c>
      <c r="AR155">
        <v>-77.644307999999995</v>
      </c>
      <c r="AS155">
        <v>25</v>
      </c>
      <c r="AT155">
        <v>3600</v>
      </c>
      <c r="AU155" t="s">
        <v>123</v>
      </c>
      <c r="AV155">
        <v>98</v>
      </c>
      <c r="AW155">
        <v>154</v>
      </c>
      <c r="AX155">
        <v>-64</v>
      </c>
      <c r="AZ155">
        <f t="shared" si="26"/>
        <v>9604</v>
      </c>
      <c r="BA155">
        <f t="shared" si="27"/>
        <v>23716</v>
      </c>
      <c r="BB155" s="1">
        <f t="shared" si="28"/>
        <v>182.53766734567415</v>
      </c>
      <c r="BJ155">
        <v>1404</v>
      </c>
      <c r="BK155">
        <v>1</v>
      </c>
      <c r="BL155" t="str">
        <f t="shared" si="22"/>
        <v xml:space="preserve">N600C   </v>
      </c>
      <c r="BM155">
        <v>2</v>
      </c>
      <c r="BO155">
        <v>0</v>
      </c>
      <c r="BP155">
        <v>0</v>
      </c>
      <c r="BQ155">
        <v>0</v>
      </c>
      <c r="BR155">
        <v>3700</v>
      </c>
      <c r="BS155">
        <v>100</v>
      </c>
      <c r="BT155" t="s">
        <v>128</v>
      </c>
      <c r="BU155">
        <v>0</v>
      </c>
      <c r="BV155">
        <v>0</v>
      </c>
      <c r="BW155">
        <v>0</v>
      </c>
      <c r="BX155">
        <v>1</v>
      </c>
      <c r="CA155">
        <v>0</v>
      </c>
      <c r="CB155">
        <v>0</v>
      </c>
      <c r="CC155">
        <v>0</v>
      </c>
      <c r="CM155" t="str">
        <f>"17:42:48.039"</f>
        <v>17:42:48.039</v>
      </c>
      <c r="CN155">
        <v>39257662</v>
      </c>
      <c r="CQ155">
        <v>0</v>
      </c>
      <c r="CR155">
        <v>4000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2</v>
      </c>
      <c r="DC155">
        <v>0</v>
      </c>
      <c r="DD155">
        <v>2</v>
      </c>
      <c r="DE155">
        <v>0</v>
      </c>
      <c r="DF155">
        <v>7</v>
      </c>
      <c r="DG155">
        <v>7</v>
      </c>
      <c r="DH155" t="s">
        <v>124</v>
      </c>
      <c r="DI155">
        <v>71</v>
      </c>
      <c r="DJ155">
        <v>1</v>
      </c>
      <c r="DK155" t="s">
        <v>134</v>
      </c>
      <c r="DL155" t="s">
        <v>135</v>
      </c>
      <c r="DO155">
        <v>11344846</v>
      </c>
      <c r="DQ155">
        <v>0</v>
      </c>
      <c r="DR155">
        <v>0</v>
      </c>
      <c r="DS155">
        <v>1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</row>
    <row r="156" spans="1:131" x14ac:dyDescent="0.35">
      <c r="A156" s="2" t="str">
        <f>"17:42:49.427"</f>
        <v>17:42:49.427</v>
      </c>
      <c r="B156" s="4">
        <f t="shared" si="29"/>
        <v>63769.427000000003</v>
      </c>
      <c r="C156" s="4">
        <f t="shared" si="23"/>
        <v>169.42700000000332</v>
      </c>
      <c r="D156" s="3">
        <f t="shared" si="24"/>
        <v>0.73807207175925926</v>
      </c>
      <c r="E156" s="2">
        <f t="shared" si="25"/>
        <v>0.73807207175925926</v>
      </c>
      <c r="G156" t="str">
        <f t="shared" si="20"/>
        <v>FFDFD7C0</v>
      </c>
      <c r="H156" t="s">
        <v>126</v>
      </c>
      <c r="I156">
        <v>8</v>
      </c>
      <c r="J156">
        <v>1008</v>
      </c>
      <c r="K156" t="s">
        <v>129</v>
      </c>
      <c r="N156" t="s">
        <v>127</v>
      </c>
      <c r="O156">
        <v>0</v>
      </c>
      <c r="P156">
        <v>3</v>
      </c>
      <c r="Q156">
        <v>0</v>
      </c>
      <c r="R156">
        <v>2</v>
      </c>
      <c r="S156">
        <v>1</v>
      </c>
      <c r="T156">
        <v>0</v>
      </c>
      <c r="U156">
        <v>0</v>
      </c>
      <c r="W156" t="str">
        <f>"17:42:49.078"</f>
        <v>17:42:49.078</v>
      </c>
      <c r="X156" t="str">
        <f>"17:42:48.778"</f>
        <v>17:42:48.778</v>
      </c>
      <c r="Y156" t="str">
        <f t="shared" si="21"/>
        <v>A7C771</v>
      </c>
      <c r="Z156">
        <v>0</v>
      </c>
      <c r="AA156">
        <v>0</v>
      </c>
      <c r="AB156">
        <v>2</v>
      </c>
      <c r="AC156">
        <v>0</v>
      </c>
      <c r="AE156">
        <v>0</v>
      </c>
      <c r="AF156">
        <v>8</v>
      </c>
      <c r="AG156">
        <v>3</v>
      </c>
      <c r="AH156">
        <v>0</v>
      </c>
      <c r="AI156">
        <v>9</v>
      </c>
      <c r="AJ156" t="s">
        <v>125</v>
      </c>
      <c r="AK156">
        <v>0</v>
      </c>
      <c r="AL156">
        <v>3</v>
      </c>
      <c r="AM156">
        <v>2</v>
      </c>
      <c r="AN156">
        <v>1</v>
      </c>
      <c r="AO156" t="s">
        <v>446</v>
      </c>
      <c r="AP156">
        <v>42.836015000000003</v>
      </c>
      <c r="AQ156" t="s">
        <v>447</v>
      </c>
      <c r="AR156">
        <v>-77.643642</v>
      </c>
      <c r="AS156">
        <v>25</v>
      </c>
      <c r="AT156">
        <v>3600</v>
      </c>
      <c r="AU156" t="s">
        <v>123</v>
      </c>
      <c r="AV156">
        <v>98</v>
      </c>
      <c r="AW156">
        <v>155</v>
      </c>
      <c r="AX156">
        <v>0</v>
      </c>
      <c r="AZ156">
        <f t="shared" si="26"/>
        <v>9604</v>
      </c>
      <c r="BA156">
        <f t="shared" si="27"/>
        <v>24025</v>
      </c>
      <c r="BB156" s="1">
        <f t="shared" si="28"/>
        <v>183.38211472223784</v>
      </c>
      <c r="BJ156">
        <v>1404</v>
      </c>
      <c r="BK156">
        <v>1</v>
      </c>
      <c r="BL156" t="str">
        <f t="shared" si="22"/>
        <v xml:space="preserve">N600C   </v>
      </c>
      <c r="BM156">
        <v>2</v>
      </c>
      <c r="BO156">
        <v>0</v>
      </c>
      <c r="BP156">
        <v>0</v>
      </c>
      <c r="BQ156">
        <v>0</v>
      </c>
      <c r="BR156">
        <v>3700</v>
      </c>
      <c r="BS156">
        <v>100</v>
      </c>
      <c r="BT156" t="s">
        <v>128</v>
      </c>
      <c r="BU156">
        <v>0</v>
      </c>
      <c r="BV156">
        <v>0</v>
      </c>
      <c r="BW156">
        <v>0</v>
      </c>
      <c r="BX156">
        <v>1</v>
      </c>
      <c r="CA156">
        <v>0</v>
      </c>
      <c r="CB156">
        <v>0</v>
      </c>
      <c r="CC156">
        <v>0</v>
      </c>
      <c r="CM156" t="str">
        <f>"17:42:49.079"</f>
        <v>17:42:49.079</v>
      </c>
      <c r="CN156">
        <v>79443728</v>
      </c>
      <c r="CQ156">
        <v>0</v>
      </c>
      <c r="CR156">
        <v>4000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2</v>
      </c>
      <c r="DC156">
        <v>0</v>
      </c>
      <c r="DD156">
        <v>2</v>
      </c>
      <c r="DE156">
        <v>0</v>
      </c>
      <c r="DF156">
        <v>7</v>
      </c>
      <c r="DG156">
        <v>7</v>
      </c>
      <c r="DH156" t="s">
        <v>124</v>
      </c>
      <c r="DI156">
        <v>71</v>
      </c>
      <c r="DJ156">
        <v>1</v>
      </c>
      <c r="DK156" t="s">
        <v>134</v>
      </c>
      <c r="DL156" t="s">
        <v>135</v>
      </c>
      <c r="DO156">
        <v>11345743</v>
      </c>
      <c r="DQ156">
        <v>0</v>
      </c>
      <c r="DR156">
        <v>0</v>
      </c>
      <c r="DS156">
        <v>1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</row>
    <row r="157" spans="1:131" x14ac:dyDescent="0.35">
      <c r="A157" s="2" t="str">
        <f>"17:42:50.443"</f>
        <v>17:42:50.443</v>
      </c>
      <c r="B157" s="4">
        <f t="shared" si="29"/>
        <v>63770.442999999999</v>
      </c>
      <c r="C157" s="4">
        <f t="shared" si="23"/>
        <v>170.4429999999993</v>
      </c>
      <c r="D157" s="3">
        <f t="shared" si="24"/>
        <v>0.73808383101851849</v>
      </c>
      <c r="E157" s="2">
        <f t="shared" si="25"/>
        <v>0.73808383101851849</v>
      </c>
      <c r="G157" t="str">
        <f t="shared" si="20"/>
        <v>FFDFD7C0</v>
      </c>
      <c r="H157" t="s">
        <v>126</v>
      </c>
      <c r="I157">
        <v>8</v>
      </c>
      <c r="J157">
        <v>1008</v>
      </c>
      <c r="K157" t="s">
        <v>129</v>
      </c>
      <c r="N157" t="s">
        <v>127</v>
      </c>
      <c r="O157">
        <v>0</v>
      </c>
      <c r="P157">
        <v>3</v>
      </c>
      <c r="Q157">
        <v>0</v>
      </c>
      <c r="R157">
        <v>2</v>
      </c>
      <c r="S157">
        <v>1</v>
      </c>
      <c r="T157">
        <v>0</v>
      </c>
      <c r="U157">
        <v>0</v>
      </c>
      <c r="W157" t="str">
        <f>"17:42:50.086"</f>
        <v>17:42:50.086</v>
      </c>
      <c r="X157" t="str">
        <f>"17:42:49.786"</f>
        <v>17:42:49.786</v>
      </c>
      <c r="Y157" t="str">
        <f t="shared" si="21"/>
        <v>A7C771</v>
      </c>
      <c r="Z157">
        <v>0</v>
      </c>
      <c r="AA157">
        <v>0</v>
      </c>
      <c r="AB157">
        <v>2</v>
      </c>
      <c r="AC157">
        <v>0</v>
      </c>
      <c r="AE157">
        <v>0</v>
      </c>
      <c r="AF157">
        <v>8</v>
      </c>
      <c r="AG157">
        <v>3</v>
      </c>
      <c r="AH157">
        <v>0</v>
      </c>
      <c r="AI157">
        <v>9</v>
      </c>
      <c r="AJ157" t="s">
        <v>125</v>
      </c>
      <c r="AK157">
        <v>0</v>
      </c>
      <c r="AL157">
        <v>3</v>
      </c>
      <c r="AM157">
        <v>2</v>
      </c>
      <c r="AN157">
        <v>1</v>
      </c>
      <c r="AO157" t="s">
        <v>448</v>
      </c>
      <c r="AP157">
        <v>42.836722999999999</v>
      </c>
      <c r="AQ157" t="s">
        <v>449</v>
      </c>
      <c r="AR157">
        <v>-77.643062999999998</v>
      </c>
      <c r="AS157">
        <v>25</v>
      </c>
      <c r="AT157">
        <v>3625</v>
      </c>
      <c r="AU157" t="s">
        <v>123</v>
      </c>
      <c r="AV157">
        <v>98</v>
      </c>
      <c r="AW157">
        <v>155</v>
      </c>
      <c r="AX157">
        <v>128</v>
      </c>
      <c r="AZ157">
        <f t="shared" si="26"/>
        <v>9604</v>
      </c>
      <c r="BA157">
        <f t="shared" si="27"/>
        <v>24025</v>
      </c>
      <c r="BB157" s="1">
        <f t="shared" si="28"/>
        <v>183.38211472223784</v>
      </c>
      <c r="BJ157">
        <v>1404</v>
      </c>
      <c r="BK157">
        <v>1</v>
      </c>
      <c r="BL157" t="str">
        <f t="shared" si="22"/>
        <v xml:space="preserve">N600C   </v>
      </c>
      <c r="BM157">
        <v>2</v>
      </c>
      <c r="BO157">
        <v>0</v>
      </c>
      <c r="BP157">
        <v>0</v>
      </c>
      <c r="BQ157">
        <v>0</v>
      </c>
      <c r="BR157">
        <v>3725</v>
      </c>
      <c r="BS157">
        <v>100</v>
      </c>
      <c r="BT157" t="s">
        <v>128</v>
      </c>
      <c r="BU157">
        <v>0</v>
      </c>
      <c r="BV157">
        <v>0</v>
      </c>
      <c r="BW157">
        <v>0</v>
      </c>
      <c r="BX157">
        <v>1</v>
      </c>
      <c r="CA157">
        <v>0</v>
      </c>
      <c r="CB157">
        <v>0</v>
      </c>
      <c r="CC157">
        <v>0</v>
      </c>
      <c r="CM157" t="str">
        <f>"17:42:50.088"</f>
        <v>17:42:50.088</v>
      </c>
      <c r="CN157">
        <v>87630286</v>
      </c>
      <c r="CQ157">
        <v>0</v>
      </c>
      <c r="CR157">
        <v>4000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2</v>
      </c>
      <c r="DC157">
        <v>0</v>
      </c>
      <c r="DD157">
        <v>2</v>
      </c>
      <c r="DE157">
        <v>0</v>
      </c>
      <c r="DF157">
        <v>7</v>
      </c>
      <c r="DG157">
        <v>7</v>
      </c>
      <c r="DH157" t="s">
        <v>124</v>
      </c>
      <c r="DI157">
        <v>71</v>
      </c>
      <c r="DJ157">
        <v>1</v>
      </c>
      <c r="DK157" t="s">
        <v>134</v>
      </c>
      <c r="DL157" t="s">
        <v>135</v>
      </c>
      <c r="DO157">
        <v>11346706</v>
      </c>
      <c r="DQ157">
        <v>0</v>
      </c>
      <c r="DR157">
        <v>0</v>
      </c>
      <c r="DS157">
        <v>1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</row>
    <row r="158" spans="1:131" x14ac:dyDescent="0.35">
      <c r="A158" s="2" t="str">
        <f>"17:43:03.340"</f>
        <v>17:43:03.340</v>
      </c>
      <c r="B158" s="4">
        <f t="shared" si="29"/>
        <v>63783.339999999989</v>
      </c>
      <c r="C158" s="4">
        <f t="shared" si="23"/>
        <v>183.33999999998923</v>
      </c>
      <c r="D158" s="3">
        <f t="shared" si="24"/>
        <v>0.73823310185185176</v>
      </c>
      <c r="E158" s="2">
        <f t="shared" si="25"/>
        <v>0.73823310185185176</v>
      </c>
      <c r="G158" t="str">
        <f t="shared" si="20"/>
        <v>FFDFD7C0</v>
      </c>
      <c r="H158" t="s">
        <v>126</v>
      </c>
      <c r="I158">
        <v>8</v>
      </c>
      <c r="J158">
        <v>1008</v>
      </c>
      <c r="K158" t="s">
        <v>129</v>
      </c>
      <c r="N158" t="s">
        <v>127</v>
      </c>
      <c r="O158">
        <v>0</v>
      </c>
      <c r="P158">
        <v>3</v>
      </c>
      <c r="Q158">
        <v>0</v>
      </c>
      <c r="R158">
        <v>2</v>
      </c>
      <c r="S158">
        <v>1</v>
      </c>
      <c r="T158">
        <v>0</v>
      </c>
      <c r="U158">
        <v>0</v>
      </c>
      <c r="W158" t="str">
        <f>"17:43:03.078"</f>
        <v>17:43:03.078</v>
      </c>
      <c r="X158" t="str">
        <f>"17:43:02.878"</f>
        <v>17:43:02.878</v>
      </c>
      <c r="Y158" t="str">
        <f t="shared" si="21"/>
        <v>A7C771</v>
      </c>
      <c r="Z158">
        <v>0</v>
      </c>
      <c r="AA158">
        <v>0</v>
      </c>
      <c r="AB158">
        <v>2</v>
      </c>
      <c r="AC158">
        <v>0</v>
      </c>
      <c r="AE158">
        <v>0</v>
      </c>
      <c r="AF158">
        <v>8</v>
      </c>
      <c r="AG158">
        <v>3</v>
      </c>
      <c r="AH158">
        <v>0</v>
      </c>
      <c r="AI158">
        <v>9</v>
      </c>
      <c r="AJ158" t="s">
        <v>125</v>
      </c>
      <c r="AK158">
        <v>0</v>
      </c>
      <c r="AL158">
        <v>3</v>
      </c>
      <c r="AM158">
        <v>2</v>
      </c>
      <c r="AN158">
        <v>1</v>
      </c>
      <c r="AO158" t="s">
        <v>450</v>
      </c>
      <c r="AP158">
        <v>42.846035999999998</v>
      </c>
      <c r="AQ158" t="s">
        <v>451</v>
      </c>
      <c r="AR158">
        <v>-77.635015999999993</v>
      </c>
      <c r="AS158">
        <v>25</v>
      </c>
      <c r="AT158">
        <v>3625</v>
      </c>
      <c r="AU158" t="s">
        <v>123</v>
      </c>
      <c r="AV158">
        <v>99</v>
      </c>
      <c r="AW158">
        <v>155</v>
      </c>
      <c r="AX158">
        <v>0</v>
      </c>
      <c r="AZ158">
        <f t="shared" si="26"/>
        <v>9801</v>
      </c>
      <c r="BA158">
        <f t="shared" si="27"/>
        <v>24025</v>
      </c>
      <c r="BB158" s="1">
        <f t="shared" si="28"/>
        <v>183.91846019364124</v>
      </c>
      <c r="BJ158">
        <v>1404</v>
      </c>
      <c r="BK158">
        <v>1</v>
      </c>
      <c r="BL158" t="str">
        <f t="shared" si="22"/>
        <v xml:space="preserve">N600C   </v>
      </c>
      <c r="BM158">
        <v>2</v>
      </c>
      <c r="BO158">
        <v>0</v>
      </c>
      <c r="BP158">
        <v>0</v>
      </c>
      <c r="BQ158">
        <v>0</v>
      </c>
      <c r="BR158">
        <v>3725</v>
      </c>
      <c r="BS158">
        <v>100</v>
      </c>
      <c r="BT158" t="s">
        <v>128</v>
      </c>
      <c r="BU158">
        <v>0</v>
      </c>
      <c r="BV158">
        <v>0</v>
      </c>
      <c r="BW158">
        <v>0</v>
      </c>
      <c r="BX158">
        <v>1</v>
      </c>
      <c r="CA158">
        <v>0</v>
      </c>
      <c r="CB158">
        <v>0</v>
      </c>
      <c r="CC158">
        <v>0</v>
      </c>
      <c r="CM158" t="str">
        <f>"17:43:03.082"</f>
        <v>17:43:03.082</v>
      </c>
      <c r="CN158">
        <v>82018756</v>
      </c>
      <c r="CQ158">
        <v>0</v>
      </c>
      <c r="CR158">
        <v>2496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2</v>
      </c>
      <c r="DC158">
        <v>0</v>
      </c>
      <c r="DD158">
        <v>2</v>
      </c>
      <c r="DE158">
        <v>0</v>
      </c>
      <c r="DF158">
        <v>7</v>
      </c>
      <c r="DG158">
        <v>7</v>
      </c>
      <c r="DH158" t="s">
        <v>124</v>
      </c>
      <c r="DI158">
        <v>71</v>
      </c>
      <c r="DJ158">
        <v>1</v>
      </c>
      <c r="DK158" t="s">
        <v>134</v>
      </c>
      <c r="DL158" t="s">
        <v>135</v>
      </c>
      <c r="DO158">
        <v>11358330</v>
      </c>
      <c r="DQ158">
        <v>0</v>
      </c>
      <c r="DR158">
        <v>0</v>
      </c>
      <c r="DS158">
        <v>1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</row>
    <row r="159" spans="1:131" x14ac:dyDescent="0.35">
      <c r="A159" s="2" t="str">
        <f>"17:43:04.380"</f>
        <v>17:43:04.380</v>
      </c>
      <c r="B159" s="4">
        <f t="shared" si="29"/>
        <v>63784.38</v>
      </c>
      <c r="C159" s="4">
        <f t="shared" si="23"/>
        <v>184.37999999999738</v>
      </c>
      <c r="D159" s="3">
        <f t="shared" si="24"/>
        <v>0.73824513888888887</v>
      </c>
      <c r="E159" s="2">
        <f t="shared" si="25"/>
        <v>0.73824513888888887</v>
      </c>
      <c r="G159" t="str">
        <f t="shared" si="20"/>
        <v>FFDFD7C0</v>
      </c>
      <c r="H159" t="s">
        <v>126</v>
      </c>
      <c r="I159">
        <v>8</v>
      </c>
      <c r="J159">
        <v>1008</v>
      </c>
      <c r="K159" t="s">
        <v>129</v>
      </c>
      <c r="N159" t="s">
        <v>127</v>
      </c>
      <c r="O159">
        <v>0</v>
      </c>
      <c r="P159">
        <v>3</v>
      </c>
      <c r="Q159">
        <v>0</v>
      </c>
      <c r="R159">
        <v>2</v>
      </c>
      <c r="S159">
        <v>1</v>
      </c>
      <c r="T159">
        <v>0</v>
      </c>
      <c r="U159">
        <v>0</v>
      </c>
      <c r="W159" t="str">
        <f>"17:43:04.133"</f>
        <v>17:43:04.133</v>
      </c>
      <c r="X159" t="str">
        <f>"17:43:04.033"</f>
        <v>17:43:04.033</v>
      </c>
      <c r="Y159" t="str">
        <f t="shared" si="21"/>
        <v>A7C771</v>
      </c>
      <c r="Z159">
        <v>0</v>
      </c>
      <c r="AA159">
        <v>0</v>
      </c>
      <c r="AB159">
        <v>2</v>
      </c>
      <c r="AC159">
        <v>0</v>
      </c>
      <c r="AE159">
        <v>0</v>
      </c>
      <c r="AF159">
        <v>8</v>
      </c>
      <c r="AG159">
        <v>3</v>
      </c>
      <c r="AH159">
        <v>0</v>
      </c>
      <c r="AI159">
        <v>9</v>
      </c>
      <c r="AJ159" t="s">
        <v>125</v>
      </c>
      <c r="AK159">
        <v>0</v>
      </c>
      <c r="AL159">
        <v>3</v>
      </c>
      <c r="AM159">
        <v>2</v>
      </c>
      <c r="AN159">
        <v>1</v>
      </c>
      <c r="AO159" t="s">
        <v>452</v>
      </c>
      <c r="AP159">
        <v>42.846766000000002</v>
      </c>
      <c r="AQ159" t="s">
        <v>453</v>
      </c>
      <c r="AR159">
        <v>-77.634372999999997</v>
      </c>
      <c r="AS159">
        <v>25</v>
      </c>
      <c r="AT159">
        <v>3625</v>
      </c>
      <c r="AU159" t="s">
        <v>123</v>
      </c>
      <c r="AV159">
        <v>99</v>
      </c>
      <c r="AW159">
        <v>155</v>
      </c>
      <c r="AX159">
        <v>64</v>
      </c>
      <c r="AZ159">
        <f t="shared" si="26"/>
        <v>9801</v>
      </c>
      <c r="BA159">
        <f t="shared" si="27"/>
        <v>24025</v>
      </c>
      <c r="BB159" s="1">
        <f t="shared" si="28"/>
        <v>183.91846019364124</v>
      </c>
      <c r="BJ159">
        <v>1404</v>
      </c>
      <c r="BK159">
        <v>1</v>
      </c>
      <c r="BL159" t="str">
        <f t="shared" si="22"/>
        <v xml:space="preserve">N600C   </v>
      </c>
      <c r="BM159">
        <v>2</v>
      </c>
      <c r="BO159">
        <v>0</v>
      </c>
      <c r="BP159">
        <v>0</v>
      </c>
      <c r="BQ159">
        <v>0</v>
      </c>
      <c r="BR159">
        <v>3725</v>
      </c>
      <c r="BS159">
        <v>100</v>
      </c>
      <c r="BT159" t="s">
        <v>128</v>
      </c>
      <c r="BU159">
        <v>0</v>
      </c>
      <c r="BV159">
        <v>0</v>
      </c>
      <c r="BW159">
        <v>0</v>
      </c>
      <c r="BX159">
        <v>1</v>
      </c>
      <c r="CA159">
        <v>0</v>
      </c>
      <c r="CB159">
        <v>0</v>
      </c>
      <c r="CC159">
        <v>0</v>
      </c>
      <c r="CM159" t="str">
        <f>"17:43:04.138"</f>
        <v>17:43:04.138</v>
      </c>
      <c r="CN159">
        <v>138210195</v>
      </c>
      <c r="CQ159">
        <v>0</v>
      </c>
      <c r="CR159">
        <v>2496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2</v>
      </c>
      <c r="DC159">
        <v>0</v>
      </c>
      <c r="DD159">
        <v>2</v>
      </c>
      <c r="DE159">
        <v>0</v>
      </c>
      <c r="DF159">
        <v>7</v>
      </c>
      <c r="DG159">
        <v>7</v>
      </c>
      <c r="DH159" t="s">
        <v>124</v>
      </c>
      <c r="DI159">
        <v>71</v>
      </c>
      <c r="DJ159">
        <v>1</v>
      </c>
      <c r="DK159" t="s">
        <v>134</v>
      </c>
      <c r="DL159" t="s">
        <v>135</v>
      </c>
      <c r="DO159">
        <v>11359282</v>
      </c>
      <c r="DQ159">
        <v>0</v>
      </c>
      <c r="DR159">
        <v>0</v>
      </c>
      <c r="DS159">
        <v>1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</row>
    <row r="160" spans="1:131" x14ac:dyDescent="0.35">
      <c r="A160" s="2" t="str">
        <f>"17:43:05.574"</f>
        <v>17:43:05.574</v>
      </c>
      <c r="B160" s="4">
        <f t="shared" si="29"/>
        <v>63785.574000000001</v>
      </c>
      <c r="C160" s="4">
        <f t="shared" si="23"/>
        <v>185.57400000000052</v>
      </c>
      <c r="D160" s="3">
        <f t="shared" si="24"/>
        <v>0.73825895833333333</v>
      </c>
      <c r="E160" s="2">
        <f t="shared" si="25"/>
        <v>0.73825895833333333</v>
      </c>
      <c r="G160" t="str">
        <f t="shared" si="20"/>
        <v>FFDFD7C0</v>
      </c>
      <c r="H160" t="s">
        <v>126</v>
      </c>
      <c r="I160">
        <v>8</v>
      </c>
      <c r="J160">
        <v>1008</v>
      </c>
      <c r="K160" t="s">
        <v>129</v>
      </c>
      <c r="N160" t="s">
        <v>127</v>
      </c>
      <c r="O160">
        <v>0</v>
      </c>
      <c r="P160">
        <v>3</v>
      </c>
      <c r="Q160">
        <v>0</v>
      </c>
      <c r="R160">
        <v>2</v>
      </c>
      <c r="S160">
        <v>1</v>
      </c>
      <c r="T160">
        <v>0</v>
      </c>
      <c r="U160">
        <v>0</v>
      </c>
      <c r="W160" t="str">
        <f>"17:43:05.273"</f>
        <v>17:43:05.273</v>
      </c>
      <c r="X160" t="str">
        <f>"17:43:05.073"</f>
        <v>17:43:05.073</v>
      </c>
      <c r="Y160" t="str">
        <f t="shared" si="21"/>
        <v>A7C771</v>
      </c>
      <c r="Z160">
        <v>0</v>
      </c>
      <c r="AA160">
        <v>0</v>
      </c>
      <c r="AB160">
        <v>2</v>
      </c>
      <c r="AC160">
        <v>0</v>
      </c>
      <c r="AE160">
        <v>0</v>
      </c>
      <c r="AF160">
        <v>8</v>
      </c>
      <c r="AG160">
        <v>3</v>
      </c>
      <c r="AH160">
        <v>0</v>
      </c>
      <c r="AI160">
        <v>9</v>
      </c>
      <c r="AJ160" t="s">
        <v>125</v>
      </c>
      <c r="AK160">
        <v>0</v>
      </c>
      <c r="AL160">
        <v>3</v>
      </c>
      <c r="AM160">
        <v>2</v>
      </c>
      <c r="AN160">
        <v>1</v>
      </c>
      <c r="AO160" t="s">
        <v>454</v>
      </c>
      <c r="AP160">
        <v>42.847602000000002</v>
      </c>
      <c r="AQ160" t="s">
        <v>455</v>
      </c>
      <c r="AR160">
        <v>-77.633643000000006</v>
      </c>
      <c r="AS160">
        <v>25</v>
      </c>
      <c r="AT160">
        <v>3625</v>
      </c>
      <c r="AU160" t="s">
        <v>123</v>
      </c>
      <c r="AV160">
        <v>99</v>
      </c>
      <c r="AW160">
        <v>154</v>
      </c>
      <c r="AX160">
        <v>0</v>
      </c>
      <c r="AZ160">
        <f t="shared" si="26"/>
        <v>9801</v>
      </c>
      <c r="BA160">
        <f t="shared" si="27"/>
        <v>23716</v>
      </c>
      <c r="BB160" s="1">
        <f t="shared" si="28"/>
        <v>183.07648674802562</v>
      </c>
      <c r="BJ160">
        <v>1404</v>
      </c>
      <c r="BK160">
        <v>1</v>
      </c>
      <c r="BL160" t="str">
        <f t="shared" si="22"/>
        <v xml:space="preserve">N600C   </v>
      </c>
      <c r="BM160">
        <v>2</v>
      </c>
      <c r="BO160">
        <v>0</v>
      </c>
      <c r="BP160">
        <v>0</v>
      </c>
      <c r="BQ160">
        <v>0</v>
      </c>
      <c r="BR160">
        <v>3725</v>
      </c>
      <c r="BS160">
        <v>100</v>
      </c>
      <c r="BT160" t="s">
        <v>128</v>
      </c>
      <c r="BU160">
        <v>0</v>
      </c>
      <c r="BV160">
        <v>0</v>
      </c>
      <c r="BW160">
        <v>0</v>
      </c>
      <c r="BX160">
        <v>1</v>
      </c>
      <c r="CA160">
        <v>0</v>
      </c>
      <c r="CB160">
        <v>0</v>
      </c>
      <c r="CC160">
        <v>0</v>
      </c>
      <c r="CM160" t="str">
        <f>"17:43:05.274"</f>
        <v>17:43:05.274</v>
      </c>
      <c r="CN160">
        <v>274433105</v>
      </c>
      <c r="CQ160">
        <v>0</v>
      </c>
      <c r="CR160">
        <v>2496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2</v>
      </c>
      <c r="DC160">
        <v>0</v>
      </c>
      <c r="DD160">
        <v>2</v>
      </c>
      <c r="DE160">
        <v>0</v>
      </c>
      <c r="DF160">
        <v>7</v>
      </c>
      <c r="DG160">
        <v>7</v>
      </c>
      <c r="DH160" t="s">
        <v>124</v>
      </c>
      <c r="DI160">
        <v>71</v>
      </c>
      <c r="DJ160">
        <v>1</v>
      </c>
      <c r="DK160" t="s">
        <v>134</v>
      </c>
      <c r="DL160" t="s">
        <v>135</v>
      </c>
      <c r="DO160">
        <v>11360311</v>
      </c>
      <c r="DQ160">
        <v>0</v>
      </c>
      <c r="DR160">
        <v>0</v>
      </c>
      <c r="DS160">
        <v>1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</row>
    <row r="161" spans="1:131" x14ac:dyDescent="0.35">
      <c r="A161" s="2" t="str">
        <f>"17:43:06.493"</f>
        <v>17:43:06.493</v>
      </c>
      <c r="B161" s="4">
        <f t="shared" si="29"/>
        <v>63786.493000000002</v>
      </c>
      <c r="C161" s="4">
        <f t="shared" si="23"/>
        <v>186.49300000000221</v>
      </c>
      <c r="D161" s="3">
        <f t="shared" si="24"/>
        <v>0.7382695949074074</v>
      </c>
      <c r="E161" s="2">
        <f t="shared" si="25"/>
        <v>0.7382695949074074</v>
      </c>
      <c r="G161" t="str">
        <f t="shared" si="20"/>
        <v>FFDFD7C0</v>
      </c>
      <c r="H161" t="s">
        <v>126</v>
      </c>
      <c r="I161">
        <v>8</v>
      </c>
      <c r="J161">
        <v>1008</v>
      </c>
      <c r="K161" t="s">
        <v>129</v>
      </c>
      <c r="N161" t="s">
        <v>127</v>
      </c>
      <c r="O161">
        <v>0</v>
      </c>
      <c r="P161">
        <v>3</v>
      </c>
      <c r="Q161">
        <v>0</v>
      </c>
      <c r="R161">
        <v>2</v>
      </c>
      <c r="S161">
        <v>1</v>
      </c>
      <c r="T161">
        <v>0</v>
      </c>
      <c r="U161">
        <v>0</v>
      </c>
      <c r="W161" t="str">
        <f>"17:43:06.180"</f>
        <v>17:43:06.180</v>
      </c>
      <c r="X161" t="str">
        <f>"17:43:06.080"</f>
        <v>17:43:06.080</v>
      </c>
      <c r="Y161" t="str">
        <f t="shared" si="21"/>
        <v>A7C771</v>
      </c>
      <c r="Z161">
        <v>0</v>
      </c>
      <c r="AA161">
        <v>0</v>
      </c>
      <c r="AB161">
        <v>2</v>
      </c>
      <c r="AC161">
        <v>0</v>
      </c>
      <c r="AE161">
        <v>0</v>
      </c>
      <c r="AF161">
        <v>8</v>
      </c>
      <c r="AG161">
        <v>3</v>
      </c>
      <c r="AH161">
        <v>0</v>
      </c>
      <c r="AI161">
        <v>9</v>
      </c>
      <c r="AJ161" t="s">
        <v>125</v>
      </c>
      <c r="AK161">
        <v>0</v>
      </c>
      <c r="AL161">
        <v>3</v>
      </c>
      <c r="AM161">
        <v>2</v>
      </c>
      <c r="AN161">
        <v>1</v>
      </c>
      <c r="AO161" t="s">
        <v>456</v>
      </c>
      <c r="AP161">
        <v>42.848246000000003</v>
      </c>
      <c r="AQ161" t="s">
        <v>457</v>
      </c>
      <c r="AR161">
        <v>-77.633106999999995</v>
      </c>
      <c r="AS161">
        <v>25</v>
      </c>
      <c r="AT161">
        <v>3625</v>
      </c>
      <c r="AU161" t="s">
        <v>123</v>
      </c>
      <c r="AV161">
        <v>99</v>
      </c>
      <c r="AW161">
        <v>154</v>
      </c>
      <c r="AX161">
        <v>-128</v>
      </c>
      <c r="AZ161">
        <f t="shared" si="26"/>
        <v>9801</v>
      </c>
      <c r="BA161">
        <f t="shared" si="27"/>
        <v>23716</v>
      </c>
      <c r="BB161" s="1">
        <f t="shared" si="28"/>
        <v>183.07648674802562</v>
      </c>
      <c r="BJ161">
        <v>1404</v>
      </c>
      <c r="BK161">
        <v>1</v>
      </c>
      <c r="BL161" t="str">
        <f t="shared" si="22"/>
        <v xml:space="preserve">N600C   </v>
      </c>
      <c r="BM161">
        <v>2</v>
      </c>
      <c r="BO161">
        <v>0</v>
      </c>
      <c r="BP161">
        <v>0</v>
      </c>
      <c r="BQ161">
        <v>0</v>
      </c>
      <c r="BR161">
        <v>3725</v>
      </c>
      <c r="BS161">
        <v>100</v>
      </c>
      <c r="BT161" t="s">
        <v>128</v>
      </c>
      <c r="BU161">
        <v>0</v>
      </c>
      <c r="BV161">
        <v>0</v>
      </c>
      <c r="BW161">
        <v>0</v>
      </c>
      <c r="BX161">
        <v>1</v>
      </c>
      <c r="CA161">
        <v>0</v>
      </c>
      <c r="CB161">
        <v>0</v>
      </c>
      <c r="CC161">
        <v>0</v>
      </c>
      <c r="CM161" t="str">
        <f>"17:43:06.187"</f>
        <v>17:43:06.187</v>
      </c>
      <c r="CN161">
        <v>186598297</v>
      </c>
      <c r="CQ161">
        <v>0</v>
      </c>
      <c r="CR161">
        <v>2496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2</v>
      </c>
      <c r="DC161">
        <v>0</v>
      </c>
      <c r="DD161">
        <v>2</v>
      </c>
      <c r="DE161">
        <v>0</v>
      </c>
      <c r="DF161">
        <v>7</v>
      </c>
      <c r="DG161">
        <v>7</v>
      </c>
      <c r="DH161" t="s">
        <v>124</v>
      </c>
      <c r="DI161">
        <v>71</v>
      </c>
      <c r="DJ161">
        <v>1</v>
      </c>
      <c r="DK161" t="s">
        <v>134</v>
      </c>
      <c r="DL161" t="s">
        <v>135</v>
      </c>
      <c r="DO161">
        <v>11361144</v>
      </c>
      <c r="DQ161">
        <v>0</v>
      </c>
      <c r="DR161">
        <v>0</v>
      </c>
      <c r="DS161">
        <v>1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</row>
    <row r="162" spans="1:131" x14ac:dyDescent="0.35">
      <c r="A162" s="2" t="str">
        <f>"17:43:07.464"</f>
        <v>17:43:07.464</v>
      </c>
      <c r="B162" s="4">
        <f t="shared" si="29"/>
        <v>63787.464000000007</v>
      </c>
      <c r="C162" s="4">
        <f t="shared" si="23"/>
        <v>187.46400000000722</v>
      </c>
      <c r="D162" s="3">
        <f t="shared" si="24"/>
        <v>0.73828083333333339</v>
      </c>
      <c r="E162" s="2">
        <f t="shared" si="25"/>
        <v>0.73828083333333339</v>
      </c>
      <c r="G162" t="str">
        <f t="shared" si="20"/>
        <v>FFDFD7C0</v>
      </c>
      <c r="H162" t="s">
        <v>126</v>
      </c>
      <c r="I162">
        <v>8</v>
      </c>
      <c r="J162">
        <v>1008</v>
      </c>
      <c r="K162" t="s">
        <v>129</v>
      </c>
      <c r="N162" t="s">
        <v>127</v>
      </c>
      <c r="O162">
        <v>0</v>
      </c>
      <c r="P162">
        <v>3</v>
      </c>
      <c r="Q162">
        <v>0</v>
      </c>
      <c r="R162">
        <v>2</v>
      </c>
      <c r="S162">
        <v>1</v>
      </c>
      <c r="T162">
        <v>0</v>
      </c>
      <c r="U162">
        <v>0</v>
      </c>
      <c r="W162" t="str">
        <f>"17:43:07.148"</f>
        <v>17:43:07.148</v>
      </c>
      <c r="X162" t="str">
        <f>"17:43:07.148"</f>
        <v>17:43:07.148</v>
      </c>
      <c r="Y162" t="str">
        <f t="shared" si="21"/>
        <v>A7C771</v>
      </c>
      <c r="Z162">
        <v>0</v>
      </c>
      <c r="AA162">
        <v>0</v>
      </c>
      <c r="AB162">
        <v>2</v>
      </c>
      <c r="AC162">
        <v>0</v>
      </c>
      <c r="AE162">
        <v>0</v>
      </c>
      <c r="AF162">
        <v>8</v>
      </c>
      <c r="AG162">
        <v>3</v>
      </c>
      <c r="AH162">
        <v>0</v>
      </c>
      <c r="AI162">
        <v>9</v>
      </c>
      <c r="AJ162" t="s">
        <v>125</v>
      </c>
      <c r="AK162">
        <v>0</v>
      </c>
      <c r="AL162">
        <v>3</v>
      </c>
      <c r="AM162">
        <v>2</v>
      </c>
      <c r="AN162">
        <v>1</v>
      </c>
      <c r="AO162" t="s">
        <v>458</v>
      </c>
      <c r="AP162">
        <v>42.849060999999999</v>
      </c>
      <c r="AQ162" t="s">
        <v>459</v>
      </c>
      <c r="AR162">
        <v>-77.632399000000007</v>
      </c>
      <c r="AS162">
        <v>25</v>
      </c>
      <c r="AT162">
        <v>3600</v>
      </c>
      <c r="AU162" t="s">
        <v>123</v>
      </c>
      <c r="AV162">
        <v>99</v>
      </c>
      <c r="AW162">
        <v>154</v>
      </c>
      <c r="AX162">
        <v>-320</v>
      </c>
      <c r="AZ162">
        <f t="shared" si="26"/>
        <v>9801</v>
      </c>
      <c r="BA162">
        <f t="shared" si="27"/>
        <v>23716</v>
      </c>
      <c r="BB162" s="1">
        <f t="shared" si="28"/>
        <v>183.07648674802562</v>
      </c>
      <c r="BJ162">
        <v>1404</v>
      </c>
      <c r="BK162">
        <v>1</v>
      </c>
      <c r="BL162" t="str">
        <f t="shared" si="22"/>
        <v xml:space="preserve">N600C   </v>
      </c>
      <c r="BM162">
        <v>2</v>
      </c>
      <c r="BO162">
        <v>0</v>
      </c>
      <c r="BP162">
        <v>0</v>
      </c>
      <c r="BQ162">
        <v>0</v>
      </c>
      <c r="BR162">
        <v>3700</v>
      </c>
      <c r="BS162">
        <v>100</v>
      </c>
      <c r="BT162" t="s">
        <v>128</v>
      </c>
      <c r="BU162">
        <v>0</v>
      </c>
      <c r="BV162">
        <v>0</v>
      </c>
      <c r="BW162">
        <v>0</v>
      </c>
      <c r="BX162">
        <v>1</v>
      </c>
      <c r="CA162">
        <v>0</v>
      </c>
      <c r="CB162">
        <v>0</v>
      </c>
      <c r="CC162">
        <v>0</v>
      </c>
      <c r="CM162" t="str">
        <f>"17:43:07.155"</f>
        <v>17:43:07.155</v>
      </c>
      <c r="CN162">
        <v>154777843</v>
      </c>
      <c r="CQ162">
        <v>0</v>
      </c>
      <c r="CR162">
        <v>2496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2</v>
      </c>
      <c r="DC162">
        <v>0</v>
      </c>
      <c r="DD162">
        <v>2</v>
      </c>
      <c r="DE162">
        <v>0</v>
      </c>
      <c r="DF162">
        <v>7</v>
      </c>
      <c r="DG162">
        <v>7</v>
      </c>
      <c r="DH162" t="s">
        <v>124</v>
      </c>
      <c r="DI162">
        <v>71</v>
      </c>
      <c r="DJ162">
        <v>1</v>
      </c>
      <c r="DK162" t="s">
        <v>134</v>
      </c>
      <c r="DL162" t="s">
        <v>135</v>
      </c>
      <c r="DO162">
        <v>11361995</v>
      </c>
      <c r="DQ162">
        <v>0</v>
      </c>
      <c r="DR162">
        <v>0</v>
      </c>
      <c r="DS162">
        <v>1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</row>
    <row r="163" spans="1:131" x14ac:dyDescent="0.35">
      <c r="A163" s="2" t="str">
        <f>"17:43:08.481"</f>
        <v>17:43:08.481</v>
      </c>
      <c r="B163" s="4">
        <f t="shared" si="29"/>
        <v>63788.481</v>
      </c>
      <c r="C163" s="4">
        <f t="shared" si="23"/>
        <v>188.48099999999977</v>
      </c>
      <c r="D163" s="3">
        <f t="shared" si="24"/>
        <v>0.73829260416666664</v>
      </c>
      <c r="E163" s="2">
        <f t="shared" si="25"/>
        <v>0.73829260416666664</v>
      </c>
      <c r="G163" t="str">
        <f t="shared" si="20"/>
        <v>FFDFD7C0</v>
      </c>
      <c r="H163" t="s">
        <v>126</v>
      </c>
      <c r="I163">
        <v>8</v>
      </c>
      <c r="J163">
        <v>1008</v>
      </c>
      <c r="K163" t="s">
        <v>129</v>
      </c>
      <c r="N163" t="s">
        <v>127</v>
      </c>
      <c r="O163">
        <v>0</v>
      </c>
      <c r="P163">
        <v>3</v>
      </c>
      <c r="Q163">
        <v>0</v>
      </c>
      <c r="R163">
        <v>2</v>
      </c>
      <c r="S163">
        <v>1</v>
      </c>
      <c r="T163">
        <v>0</v>
      </c>
      <c r="U163">
        <v>0</v>
      </c>
      <c r="W163" t="str">
        <f>"17:43:08.297"</f>
        <v>17:43:08.297</v>
      </c>
      <c r="X163" t="str">
        <f>"17:43:07.997"</f>
        <v>17:43:07.997</v>
      </c>
      <c r="Y163" t="str">
        <f t="shared" si="21"/>
        <v>A7C771</v>
      </c>
      <c r="Z163">
        <v>0</v>
      </c>
      <c r="AA163">
        <v>0</v>
      </c>
      <c r="AB163">
        <v>2</v>
      </c>
      <c r="AC163">
        <v>0</v>
      </c>
      <c r="AE163">
        <v>0</v>
      </c>
      <c r="AF163">
        <v>8</v>
      </c>
      <c r="AG163">
        <v>3</v>
      </c>
      <c r="AH163">
        <v>0</v>
      </c>
      <c r="AI163">
        <v>9</v>
      </c>
      <c r="AJ163" t="s">
        <v>125</v>
      </c>
      <c r="AK163">
        <v>0</v>
      </c>
      <c r="AL163">
        <v>3</v>
      </c>
      <c r="AM163">
        <v>2</v>
      </c>
      <c r="AN163">
        <v>1</v>
      </c>
      <c r="AO163" t="s">
        <v>460</v>
      </c>
      <c r="AP163">
        <v>42.849834000000001</v>
      </c>
      <c r="AQ163" t="s">
        <v>461</v>
      </c>
      <c r="AR163">
        <v>-77.631691000000004</v>
      </c>
      <c r="AS163">
        <v>25</v>
      </c>
      <c r="AT163">
        <v>3600</v>
      </c>
      <c r="AU163" t="s">
        <v>123</v>
      </c>
      <c r="AV163">
        <v>100</v>
      </c>
      <c r="AW163">
        <v>153</v>
      </c>
      <c r="AX163">
        <v>-512</v>
      </c>
      <c r="AZ163">
        <f t="shared" si="26"/>
        <v>10000</v>
      </c>
      <c r="BA163">
        <f t="shared" si="27"/>
        <v>23409</v>
      </c>
      <c r="BB163" s="1">
        <f t="shared" si="28"/>
        <v>182.7812900709479</v>
      </c>
      <c r="BJ163">
        <v>1404</v>
      </c>
      <c r="BK163">
        <v>1</v>
      </c>
      <c r="BL163" t="str">
        <f t="shared" si="22"/>
        <v xml:space="preserve">N600C   </v>
      </c>
      <c r="BM163">
        <v>2</v>
      </c>
      <c r="BO163">
        <v>0</v>
      </c>
      <c r="BP163">
        <v>0</v>
      </c>
      <c r="BQ163">
        <v>0</v>
      </c>
      <c r="BR163">
        <v>3700</v>
      </c>
      <c r="BS163">
        <v>100</v>
      </c>
      <c r="BT163" t="s">
        <v>128</v>
      </c>
      <c r="BU163">
        <v>0</v>
      </c>
      <c r="BV163">
        <v>0</v>
      </c>
      <c r="BW163">
        <v>0</v>
      </c>
      <c r="BX163">
        <v>1</v>
      </c>
      <c r="CA163">
        <v>0</v>
      </c>
      <c r="CB163">
        <v>0</v>
      </c>
      <c r="CC163">
        <v>0</v>
      </c>
      <c r="CM163" t="str">
        <f>"17:43:08.299"</f>
        <v>17:43:08.299</v>
      </c>
      <c r="CN163">
        <v>298985926</v>
      </c>
      <c r="CQ163">
        <v>0</v>
      </c>
      <c r="CR163">
        <v>2496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2</v>
      </c>
      <c r="DC163">
        <v>0</v>
      </c>
      <c r="DD163">
        <v>2</v>
      </c>
      <c r="DE163">
        <v>0</v>
      </c>
      <c r="DF163">
        <v>7</v>
      </c>
      <c r="DG163">
        <v>7</v>
      </c>
      <c r="DH163" t="s">
        <v>124</v>
      </c>
      <c r="DI163">
        <v>71</v>
      </c>
      <c r="DJ163">
        <v>1</v>
      </c>
      <c r="DK163" t="s">
        <v>134</v>
      </c>
      <c r="DL163" t="s">
        <v>135</v>
      </c>
      <c r="DO163">
        <v>11363041</v>
      </c>
      <c r="DQ163">
        <v>0</v>
      </c>
      <c r="DR163">
        <v>0</v>
      </c>
      <c r="DS163">
        <v>1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</row>
    <row r="164" spans="1:131" x14ac:dyDescent="0.35">
      <c r="A164" s="2" t="str">
        <f>"17:43:09.645"</f>
        <v>17:43:09.645</v>
      </c>
      <c r="B164" s="4">
        <f t="shared" si="29"/>
        <v>63789.645000000004</v>
      </c>
      <c r="C164" s="4">
        <f t="shared" si="23"/>
        <v>189.64500000000407</v>
      </c>
      <c r="D164" s="3">
        <f t="shared" si="24"/>
        <v>0.7383060763888889</v>
      </c>
      <c r="E164" s="2">
        <f t="shared" si="25"/>
        <v>0.7383060763888889</v>
      </c>
      <c r="G164" t="str">
        <f t="shared" si="20"/>
        <v>FFDFD7C0</v>
      </c>
      <c r="H164" t="s">
        <v>126</v>
      </c>
      <c r="I164">
        <v>8</v>
      </c>
      <c r="J164">
        <v>1008</v>
      </c>
      <c r="K164" t="s">
        <v>129</v>
      </c>
      <c r="N164" t="s">
        <v>127</v>
      </c>
      <c r="O164">
        <v>0</v>
      </c>
      <c r="P164">
        <v>3</v>
      </c>
      <c r="Q164">
        <v>0</v>
      </c>
      <c r="R164">
        <v>2</v>
      </c>
      <c r="S164">
        <v>1</v>
      </c>
      <c r="T164">
        <v>0</v>
      </c>
      <c r="U164">
        <v>0</v>
      </c>
      <c r="W164" t="str">
        <f>"17:43:09.305"</f>
        <v>17:43:09.305</v>
      </c>
      <c r="X164" t="str">
        <f>"17:43:09.005"</f>
        <v>17:43:09.005</v>
      </c>
      <c r="Y164" t="str">
        <f t="shared" si="21"/>
        <v>A7C771</v>
      </c>
      <c r="Z164">
        <v>0</v>
      </c>
      <c r="AA164">
        <v>0</v>
      </c>
      <c r="AB164">
        <v>2</v>
      </c>
      <c r="AC164">
        <v>0</v>
      </c>
      <c r="AE164">
        <v>0</v>
      </c>
      <c r="AF164">
        <v>8</v>
      </c>
      <c r="AG164">
        <v>3</v>
      </c>
      <c r="AH164">
        <v>0</v>
      </c>
      <c r="AI164">
        <v>9</v>
      </c>
      <c r="AJ164" t="s">
        <v>125</v>
      </c>
      <c r="AK164">
        <v>0</v>
      </c>
      <c r="AL164">
        <v>3</v>
      </c>
      <c r="AM164">
        <v>2</v>
      </c>
      <c r="AN164">
        <v>1</v>
      </c>
      <c r="AO164" t="s">
        <v>462</v>
      </c>
      <c r="AP164">
        <v>42.850521000000001</v>
      </c>
      <c r="AQ164" t="s">
        <v>463</v>
      </c>
      <c r="AR164">
        <v>-77.631046999999995</v>
      </c>
      <c r="AS164">
        <v>25</v>
      </c>
      <c r="AT164">
        <v>3575</v>
      </c>
      <c r="AU164" t="s">
        <v>123</v>
      </c>
      <c r="AV164">
        <v>100</v>
      </c>
      <c r="AW164">
        <v>154</v>
      </c>
      <c r="AX164">
        <v>-768</v>
      </c>
      <c r="AZ164">
        <f t="shared" si="26"/>
        <v>10000</v>
      </c>
      <c r="BA164">
        <f t="shared" si="27"/>
        <v>23716</v>
      </c>
      <c r="BB164" s="1">
        <f t="shared" si="28"/>
        <v>183.61917111238685</v>
      </c>
      <c r="BJ164">
        <v>1404</v>
      </c>
      <c r="BK164">
        <v>1</v>
      </c>
      <c r="BL164" t="str">
        <f t="shared" si="22"/>
        <v xml:space="preserve">N600C   </v>
      </c>
      <c r="BM164">
        <v>2</v>
      </c>
      <c r="BO164">
        <v>0</v>
      </c>
      <c r="BP164">
        <v>0</v>
      </c>
      <c r="BQ164">
        <v>0</v>
      </c>
      <c r="BR164">
        <v>3675</v>
      </c>
      <c r="BS164">
        <v>100</v>
      </c>
      <c r="BT164" t="s">
        <v>128</v>
      </c>
      <c r="BU164">
        <v>0</v>
      </c>
      <c r="BV164">
        <v>0</v>
      </c>
      <c r="BW164">
        <v>0</v>
      </c>
      <c r="BX164">
        <v>1</v>
      </c>
      <c r="CA164">
        <v>0</v>
      </c>
      <c r="CB164">
        <v>0</v>
      </c>
      <c r="CC164">
        <v>0</v>
      </c>
      <c r="CM164" t="str">
        <f>"17:43:09.307"</f>
        <v>17:43:09.307</v>
      </c>
      <c r="CN164">
        <v>307176388</v>
      </c>
      <c r="CQ164">
        <v>0</v>
      </c>
      <c r="CR164">
        <v>2496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2</v>
      </c>
      <c r="DC164">
        <v>0</v>
      </c>
      <c r="DD164">
        <v>2</v>
      </c>
      <c r="DE164">
        <v>0</v>
      </c>
      <c r="DF164">
        <v>7</v>
      </c>
      <c r="DG164">
        <v>7</v>
      </c>
      <c r="DH164" t="s">
        <v>124</v>
      </c>
      <c r="DI164">
        <v>71</v>
      </c>
      <c r="DJ164">
        <v>1</v>
      </c>
      <c r="DK164" t="s">
        <v>134</v>
      </c>
      <c r="DL164" t="s">
        <v>135</v>
      </c>
      <c r="DO164">
        <v>11363902</v>
      </c>
      <c r="DQ164">
        <v>0</v>
      </c>
      <c r="DR164">
        <v>0</v>
      </c>
      <c r="DS164">
        <v>1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</row>
    <row r="165" spans="1:131" x14ac:dyDescent="0.35">
      <c r="A165" s="2" t="str">
        <f>"17:43:10.833"</f>
        <v>17:43:10.833</v>
      </c>
      <c r="B165" s="4">
        <f t="shared" si="29"/>
        <v>63790.832999999991</v>
      </c>
      <c r="C165" s="4">
        <f t="shared" si="23"/>
        <v>190.83299999999144</v>
      </c>
      <c r="D165" s="3">
        <f t="shared" si="24"/>
        <v>0.73831982638888882</v>
      </c>
      <c r="E165" s="2">
        <f t="shared" si="25"/>
        <v>0.73831982638888882</v>
      </c>
      <c r="G165" t="str">
        <f t="shared" si="20"/>
        <v>FFDFD7C0</v>
      </c>
      <c r="H165" t="s">
        <v>126</v>
      </c>
      <c r="I165">
        <v>8</v>
      </c>
      <c r="J165">
        <v>1008</v>
      </c>
      <c r="K165" t="s">
        <v>129</v>
      </c>
      <c r="N165" t="s">
        <v>127</v>
      </c>
      <c r="O165">
        <v>0</v>
      </c>
      <c r="P165">
        <v>3</v>
      </c>
      <c r="Q165">
        <v>0</v>
      </c>
      <c r="R165">
        <v>2</v>
      </c>
      <c r="S165">
        <v>1</v>
      </c>
      <c r="T165">
        <v>0</v>
      </c>
      <c r="U165">
        <v>0</v>
      </c>
      <c r="W165" t="str">
        <f>"17:43:10.398"</f>
        <v>17:43:10.398</v>
      </c>
      <c r="X165" t="str">
        <f>"17:43:09.998"</f>
        <v>17:43:09.998</v>
      </c>
      <c r="Y165" t="str">
        <f t="shared" si="21"/>
        <v>A7C771</v>
      </c>
      <c r="Z165">
        <v>0</v>
      </c>
      <c r="AA165">
        <v>0</v>
      </c>
      <c r="AB165">
        <v>2</v>
      </c>
      <c r="AC165">
        <v>0</v>
      </c>
      <c r="AE165">
        <v>0</v>
      </c>
      <c r="AF165">
        <v>8</v>
      </c>
      <c r="AG165">
        <v>3</v>
      </c>
      <c r="AH165">
        <v>0</v>
      </c>
      <c r="AI165">
        <v>9</v>
      </c>
      <c r="AJ165" t="s">
        <v>125</v>
      </c>
      <c r="AK165">
        <v>0</v>
      </c>
      <c r="AL165">
        <v>3</v>
      </c>
      <c r="AM165">
        <v>2</v>
      </c>
      <c r="AN165">
        <v>1</v>
      </c>
      <c r="AO165" t="s">
        <v>464</v>
      </c>
      <c r="AP165">
        <v>42.851336000000003</v>
      </c>
      <c r="AQ165" t="s">
        <v>465</v>
      </c>
      <c r="AR165">
        <v>-77.630381999999997</v>
      </c>
      <c r="AS165">
        <v>25</v>
      </c>
      <c r="AT165">
        <v>3550</v>
      </c>
      <c r="AU165" t="s">
        <v>123</v>
      </c>
      <c r="AV165">
        <v>100</v>
      </c>
      <c r="AW165">
        <v>154</v>
      </c>
      <c r="AX165">
        <v>-960</v>
      </c>
      <c r="AZ165">
        <f t="shared" si="26"/>
        <v>10000</v>
      </c>
      <c r="BA165">
        <f t="shared" si="27"/>
        <v>23716</v>
      </c>
      <c r="BB165" s="1">
        <f t="shared" si="28"/>
        <v>183.61917111238685</v>
      </c>
      <c r="BJ165">
        <v>1404</v>
      </c>
      <c r="BK165">
        <v>1</v>
      </c>
      <c r="BL165" t="str">
        <f t="shared" si="22"/>
        <v xml:space="preserve">N600C   </v>
      </c>
      <c r="BM165">
        <v>2</v>
      </c>
      <c r="BO165">
        <v>0</v>
      </c>
      <c r="BP165">
        <v>0</v>
      </c>
      <c r="BQ165">
        <v>0</v>
      </c>
      <c r="BR165">
        <v>3650</v>
      </c>
      <c r="BS165">
        <v>100</v>
      </c>
      <c r="BT165" t="s">
        <v>128</v>
      </c>
      <c r="BU165">
        <v>0</v>
      </c>
      <c r="BV165">
        <v>0</v>
      </c>
      <c r="BW165">
        <v>0</v>
      </c>
      <c r="BX165">
        <v>1</v>
      </c>
      <c r="CA165">
        <v>0</v>
      </c>
      <c r="CB165">
        <v>0</v>
      </c>
      <c r="CC165">
        <v>0</v>
      </c>
      <c r="CM165" t="str">
        <f>"17:43:10.403"</f>
        <v>17:43:10.403</v>
      </c>
      <c r="CN165">
        <v>403379342</v>
      </c>
      <c r="CQ165">
        <v>0</v>
      </c>
      <c r="CR165">
        <v>2496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2</v>
      </c>
      <c r="DC165">
        <v>0</v>
      </c>
      <c r="DD165">
        <v>2</v>
      </c>
      <c r="DE165">
        <v>0</v>
      </c>
      <c r="DF165">
        <v>7</v>
      </c>
      <c r="DG165">
        <v>7</v>
      </c>
      <c r="DH165" t="s">
        <v>124</v>
      </c>
      <c r="DI165">
        <v>71</v>
      </c>
      <c r="DJ165">
        <v>1</v>
      </c>
      <c r="DK165" t="s">
        <v>134</v>
      </c>
      <c r="DL165" t="s">
        <v>135</v>
      </c>
      <c r="DO165">
        <v>11364820</v>
      </c>
      <c r="DQ165">
        <v>0</v>
      </c>
      <c r="DR165">
        <v>0</v>
      </c>
      <c r="DS165">
        <v>1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</row>
    <row r="166" spans="1:131" x14ac:dyDescent="0.35">
      <c r="A166" s="2" t="str">
        <f>"17:43:11.739"</f>
        <v>17:43:11.739</v>
      </c>
      <c r="B166" s="4">
        <f t="shared" si="29"/>
        <v>63791.739000000001</v>
      </c>
      <c r="C166" s="4">
        <f t="shared" si="23"/>
        <v>191.7390000000014</v>
      </c>
      <c r="D166" s="3">
        <f t="shared" si="24"/>
        <v>0.73833031250000003</v>
      </c>
      <c r="E166" s="2">
        <f t="shared" si="25"/>
        <v>0.73833031250000003</v>
      </c>
      <c r="G166" t="str">
        <f t="shared" si="20"/>
        <v>FFDFD7C0</v>
      </c>
      <c r="H166" t="s">
        <v>126</v>
      </c>
      <c r="I166">
        <v>8</v>
      </c>
      <c r="J166">
        <v>1008</v>
      </c>
      <c r="K166" t="s">
        <v>129</v>
      </c>
      <c r="N166" t="s">
        <v>127</v>
      </c>
      <c r="O166">
        <v>0</v>
      </c>
      <c r="P166">
        <v>3</v>
      </c>
      <c r="Q166">
        <v>0</v>
      </c>
      <c r="R166">
        <v>2</v>
      </c>
      <c r="S166">
        <v>1</v>
      </c>
      <c r="T166">
        <v>0</v>
      </c>
      <c r="U166">
        <v>0</v>
      </c>
      <c r="W166" t="str">
        <f>"17:43:11.523"</f>
        <v>17:43:11.523</v>
      </c>
      <c r="X166" t="str">
        <f>"17:43:11.523"</f>
        <v>17:43:11.523</v>
      </c>
      <c r="Y166" t="str">
        <f t="shared" si="21"/>
        <v>A7C771</v>
      </c>
      <c r="Z166">
        <v>0</v>
      </c>
      <c r="AA166">
        <v>0</v>
      </c>
      <c r="AB166">
        <v>2</v>
      </c>
      <c r="AC166">
        <v>0</v>
      </c>
      <c r="AE166">
        <v>0</v>
      </c>
      <c r="AF166">
        <v>8</v>
      </c>
      <c r="AG166">
        <v>3</v>
      </c>
      <c r="AH166">
        <v>0</v>
      </c>
      <c r="AI166">
        <v>9</v>
      </c>
      <c r="AJ166" t="s">
        <v>125</v>
      </c>
      <c r="AK166">
        <v>0</v>
      </c>
      <c r="AL166">
        <v>3</v>
      </c>
      <c r="AM166">
        <v>2</v>
      </c>
      <c r="AN166">
        <v>1</v>
      </c>
      <c r="AO166" t="s">
        <v>466</v>
      </c>
      <c r="AP166">
        <v>42.852130000000002</v>
      </c>
      <c r="AQ166" t="s">
        <v>467</v>
      </c>
      <c r="AR166">
        <v>-77.629651999999993</v>
      </c>
      <c r="AS166">
        <v>25</v>
      </c>
      <c r="AT166">
        <v>3525</v>
      </c>
      <c r="AU166" t="s">
        <v>123</v>
      </c>
      <c r="AV166">
        <v>101</v>
      </c>
      <c r="AW166">
        <v>155</v>
      </c>
      <c r="AX166">
        <v>-1344</v>
      </c>
      <c r="AZ166">
        <f t="shared" si="26"/>
        <v>10201</v>
      </c>
      <c r="BA166">
        <f t="shared" si="27"/>
        <v>24025</v>
      </c>
      <c r="BB166" s="1">
        <f t="shared" si="28"/>
        <v>185.00270268296083</v>
      </c>
      <c r="BJ166">
        <v>1404</v>
      </c>
      <c r="BK166">
        <v>1</v>
      </c>
      <c r="BL166" t="str">
        <f t="shared" si="22"/>
        <v xml:space="preserve">N600C   </v>
      </c>
      <c r="BM166">
        <v>2</v>
      </c>
      <c r="BO166">
        <v>0</v>
      </c>
      <c r="BP166">
        <v>0</v>
      </c>
      <c r="BQ166">
        <v>0</v>
      </c>
      <c r="BR166">
        <v>3625</v>
      </c>
      <c r="BS166">
        <v>100</v>
      </c>
      <c r="BT166" t="s">
        <v>128</v>
      </c>
      <c r="BU166">
        <v>0</v>
      </c>
      <c r="BV166">
        <v>0</v>
      </c>
      <c r="BW166">
        <v>0</v>
      </c>
      <c r="BX166">
        <v>1</v>
      </c>
      <c r="CA166">
        <v>0</v>
      </c>
      <c r="CB166">
        <v>0</v>
      </c>
      <c r="CC166">
        <v>0</v>
      </c>
      <c r="CM166" t="str">
        <f>"17:43:11.524"</f>
        <v>17:43:11.524</v>
      </c>
      <c r="CN166">
        <v>523578510</v>
      </c>
      <c r="CQ166">
        <v>0</v>
      </c>
      <c r="CR166">
        <v>2496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2</v>
      </c>
      <c r="DC166">
        <v>0</v>
      </c>
      <c r="DD166">
        <v>2</v>
      </c>
      <c r="DE166">
        <v>0</v>
      </c>
      <c r="DF166">
        <v>7</v>
      </c>
      <c r="DG166">
        <v>7</v>
      </c>
      <c r="DH166" t="s">
        <v>124</v>
      </c>
      <c r="DI166">
        <v>71</v>
      </c>
      <c r="DJ166">
        <v>1</v>
      </c>
      <c r="DK166" t="s">
        <v>134</v>
      </c>
      <c r="DL166" t="s">
        <v>135</v>
      </c>
      <c r="DO166">
        <v>11365846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</row>
    <row r="167" spans="1:131" x14ac:dyDescent="0.35">
      <c r="A167" s="2" t="str">
        <f>"17:43:12.880"</f>
        <v>17:43:12.880</v>
      </c>
      <c r="B167" s="4">
        <f t="shared" si="29"/>
        <v>63792.880000000005</v>
      </c>
      <c r="C167" s="4">
        <f t="shared" si="23"/>
        <v>192.88000000000466</v>
      </c>
      <c r="D167" s="3">
        <f t="shared" si="24"/>
        <v>0.73834351851851854</v>
      </c>
      <c r="E167" s="2">
        <f t="shared" si="25"/>
        <v>0.73834351851851854</v>
      </c>
      <c r="G167" t="str">
        <f t="shared" si="20"/>
        <v>FFDFD7C0</v>
      </c>
      <c r="H167" t="s">
        <v>126</v>
      </c>
      <c r="I167">
        <v>8</v>
      </c>
      <c r="J167">
        <v>1008</v>
      </c>
      <c r="K167" t="s">
        <v>129</v>
      </c>
      <c r="N167" t="s">
        <v>127</v>
      </c>
      <c r="O167">
        <v>0</v>
      </c>
      <c r="P167">
        <v>3</v>
      </c>
      <c r="Q167">
        <v>0</v>
      </c>
      <c r="R167">
        <v>2</v>
      </c>
      <c r="S167">
        <v>1</v>
      </c>
      <c r="T167">
        <v>0</v>
      </c>
      <c r="U167">
        <v>0</v>
      </c>
      <c r="W167" t="str">
        <f>"17:43:12.578"</f>
        <v>17:43:12.578</v>
      </c>
      <c r="X167" t="str">
        <f>"17:43:12.578"</f>
        <v>17:43:12.578</v>
      </c>
      <c r="Y167" t="str">
        <f t="shared" si="21"/>
        <v>A7C771</v>
      </c>
      <c r="Z167">
        <v>0</v>
      </c>
      <c r="AA167">
        <v>0</v>
      </c>
      <c r="AB167">
        <v>2</v>
      </c>
      <c r="AC167">
        <v>0</v>
      </c>
      <c r="AE167">
        <v>0</v>
      </c>
      <c r="AF167">
        <v>8</v>
      </c>
      <c r="AG167">
        <v>3</v>
      </c>
      <c r="AH167">
        <v>0</v>
      </c>
      <c r="AI167">
        <v>9</v>
      </c>
      <c r="AJ167" t="s">
        <v>125</v>
      </c>
      <c r="AK167">
        <v>0</v>
      </c>
      <c r="AL167">
        <v>3</v>
      </c>
      <c r="AM167">
        <v>2</v>
      </c>
      <c r="AN167">
        <v>1</v>
      </c>
      <c r="AO167" t="s">
        <v>468</v>
      </c>
      <c r="AP167">
        <v>42.852924000000002</v>
      </c>
      <c r="AQ167" t="s">
        <v>469</v>
      </c>
      <c r="AR167">
        <v>-77.628944000000004</v>
      </c>
      <c r="AS167">
        <v>25</v>
      </c>
      <c r="AT167">
        <v>3500</v>
      </c>
      <c r="AU167" t="s">
        <v>123</v>
      </c>
      <c r="AV167">
        <v>102</v>
      </c>
      <c r="AW167">
        <v>156</v>
      </c>
      <c r="AX167">
        <v>-1472</v>
      </c>
      <c r="AZ167">
        <f t="shared" si="26"/>
        <v>10404</v>
      </c>
      <c r="BA167">
        <f t="shared" si="27"/>
        <v>24336</v>
      </c>
      <c r="BB167" s="1">
        <f t="shared" si="28"/>
        <v>186.3866948041088</v>
      </c>
      <c r="BJ167">
        <v>1404</v>
      </c>
      <c r="BK167">
        <v>1</v>
      </c>
      <c r="BL167" t="str">
        <f t="shared" si="22"/>
        <v xml:space="preserve">N600C   </v>
      </c>
      <c r="BM167">
        <v>2</v>
      </c>
      <c r="BO167">
        <v>0</v>
      </c>
      <c r="BP167">
        <v>0</v>
      </c>
      <c r="BQ167">
        <v>0</v>
      </c>
      <c r="BR167">
        <v>3600</v>
      </c>
      <c r="BS167">
        <v>100</v>
      </c>
      <c r="BT167" t="s">
        <v>128</v>
      </c>
      <c r="BU167">
        <v>0</v>
      </c>
      <c r="BV167">
        <v>0</v>
      </c>
      <c r="BW167">
        <v>0</v>
      </c>
      <c r="BX167">
        <v>1</v>
      </c>
      <c r="CA167">
        <v>0</v>
      </c>
      <c r="CB167">
        <v>0</v>
      </c>
      <c r="CC167">
        <v>0</v>
      </c>
      <c r="CM167" t="str">
        <f>"17:43:12.580"</f>
        <v>17:43:12.580</v>
      </c>
      <c r="CN167">
        <v>579770815</v>
      </c>
      <c r="CQ167">
        <v>0</v>
      </c>
      <c r="CR167">
        <v>2496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2</v>
      </c>
      <c r="DC167">
        <v>0</v>
      </c>
      <c r="DD167">
        <v>2</v>
      </c>
      <c r="DE167">
        <v>0</v>
      </c>
      <c r="DF167">
        <v>7</v>
      </c>
      <c r="DG167">
        <v>7</v>
      </c>
      <c r="DH167" t="s">
        <v>124</v>
      </c>
      <c r="DI167">
        <v>71</v>
      </c>
      <c r="DJ167">
        <v>1</v>
      </c>
      <c r="DK167" t="s">
        <v>134</v>
      </c>
      <c r="DL167" t="s">
        <v>135</v>
      </c>
      <c r="DO167">
        <v>11366845</v>
      </c>
      <c r="DQ167">
        <v>0</v>
      </c>
      <c r="DR167">
        <v>0</v>
      </c>
      <c r="DS167">
        <v>1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</row>
    <row r="168" spans="1:131" x14ac:dyDescent="0.35">
      <c r="A168" s="2" t="str">
        <f>"17:43:13.803"</f>
        <v>17:43:13.803</v>
      </c>
      <c r="B168" s="4">
        <f t="shared" si="29"/>
        <v>63793.803</v>
      </c>
      <c r="C168" s="4">
        <f t="shared" si="23"/>
        <v>193.80299999999988</v>
      </c>
      <c r="D168" s="3">
        <f t="shared" si="24"/>
        <v>0.73835420138888885</v>
      </c>
      <c r="E168" s="2">
        <f t="shared" si="25"/>
        <v>0.73835420138888885</v>
      </c>
      <c r="G168" t="str">
        <f t="shared" si="20"/>
        <v>FFDFD7C0</v>
      </c>
      <c r="H168" t="s">
        <v>126</v>
      </c>
      <c r="I168">
        <v>8</v>
      </c>
      <c r="J168">
        <v>1008</v>
      </c>
      <c r="K168" t="s">
        <v>129</v>
      </c>
      <c r="N168" t="s">
        <v>127</v>
      </c>
      <c r="O168">
        <v>0</v>
      </c>
      <c r="P168">
        <v>3</v>
      </c>
      <c r="Q168">
        <v>0</v>
      </c>
      <c r="R168">
        <v>2</v>
      </c>
      <c r="S168">
        <v>1</v>
      </c>
      <c r="T168">
        <v>0</v>
      </c>
      <c r="U168">
        <v>0</v>
      </c>
      <c r="W168" t="str">
        <f>"17:43:13.492"</f>
        <v>17:43:13.492</v>
      </c>
      <c r="X168" t="str">
        <f>"17:43:13.192"</f>
        <v>17:43:13.192</v>
      </c>
      <c r="Y168" t="str">
        <f t="shared" si="21"/>
        <v>A7C771</v>
      </c>
      <c r="Z168">
        <v>0</v>
      </c>
      <c r="AA168">
        <v>0</v>
      </c>
      <c r="AB168">
        <v>2</v>
      </c>
      <c r="AC168">
        <v>0</v>
      </c>
      <c r="AE168">
        <v>0</v>
      </c>
      <c r="AF168">
        <v>8</v>
      </c>
      <c r="AG168">
        <v>3</v>
      </c>
      <c r="AH168">
        <v>0</v>
      </c>
      <c r="AI168">
        <v>9</v>
      </c>
      <c r="AJ168" t="s">
        <v>125</v>
      </c>
      <c r="AK168">
        <v>0</v>
      </c>
      <c r="AL168">
        <v>3</v>
      </c>
      <c r="AM168">
        <v>2</v>
      </c>
      <c r="AN168">
        <v>1</v>
      </c>
      <c r="AO168" t="s">
        <v>470</v>
      </c>
      <c r="AP168">
        <v>42.853546000000001</v>
      </c>
      <c r="AQ168" t="s">
        <v>471</v>
      </c>
      <c r="AR168">
        <v>-77.628365000000002</v>
      </c>
      <c r="AS168">
        <v>25</v>
      </c>
      <c r="AT168">
        <v>3475</v>
      </c>
      <c r="AU168" t="s">
        <v>123</v>
      </c>
      <c r="AV168">
        <v>102</v>
      </c>
      <c r="AW168">
        <v>156</v>
      </c>
      <c r="AX168">
        <v>-1472</v>
      </c>
      <c r="AZ168">
        <f t="shared" si="26"/>
        <v>10404</v>
      </c>
      <c r="BA168">
        <f t="shared" si="27"/>
        <v>24336</v>
      </c>
      <c r="BB168" s="1">
        <f t="shared" si="28"/>
        <v>186.3866948041088</v>
      </c>
      <c r="BJ168">
        <v>1404</v>
      </c>
      <c r="BK168">
        <v>1</v>
      </c>
      <c r="BL168" t="str">
        <f t="shared" si="22"/>
        <v xml:space="preserve">N600C   </v>
      </c>
      <c r="BM168">
        <v>2</v>
      </c>
      <c r="BO168">
        <v>0</v>
      </c>
      <c r="BP168">
        <v>0</v>
      </c>
      <c r="BQ168">
        <v>0</v>
      </c>
      <c r="BR168">
        <v>3600</v>
      </c>
      <c r="BS168">
        <v>125</v>
      </c>
      <c r="BT168" t="s">
        <v>128</v>
      </c>
      <c r="BU168">
        <v>0</v>
      </c>
      <c r="BV168">
        <v>0</v>
      </c>
      <c r="BW168">
        <v>0</v>
      </c>
      <c r="BX168">
        <v>1</v>
      </c>
      <c r="CA168">
        <v>0</v>
      </c>
      <c r="CB168">
        <v>0</v>
      </c>
      <c r="CC168">
        <v>0</v>
      </c>
      <c r="CM168" t="str">
        <f>"17:43:13.500"</f>
        <v>17:43:13.500</v>
      </c>
      <c r="CN168">
        <v>499939179</v>
      </c>
      <c r="CQ168">
        <v>0</v>
      </c>
      <c r="CR168">
        <v>2496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2</v>
      </c>
      <c r="DC168">
        <v>0</v>
      </c>
      <c r="DD168">
        <v>2</v>
      </c>
      <c r="DE168">
        <v>0</v>
      </c>
      <c r="DF168">
        <v>7</v>
      </c>
      <c r="DG168">
        <v>7</v>
      </c>
      <c r="DH168" t="s">
        <v>124</v>
      </c>
      <c r="DI168">
        <v>71</v>
      </c>
      <c r="DJ168">
        <v>1</v>
      </c>
      <c r="DK168" t="s">
        <v>134</v>
      </c>
      <c r="DL168" t="s">
        <v>135</v>
      </c>
      <c r="DO168">
        <v>11367651</v>
      </c>
      <c r="DQ168">
        <v>0</v>
      </c>
      <c r="DR168">
        <v>0</v>
      </c>
      <c r="DS168">
        <v>1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</row>
    <row r="169" spans="1:131" x14ac:dyDescent="0.35">
      <c r="A169" s="2" t="str">
        <f>"17:43:14.676"</f>
        <v>17:43:14.676</v>
      </c>
      <c r="B169" s="4">
        <f t="shared" si="29"/>
        <v>63794.675999999999</v>
      </c>
      <c r="C169" s="4">
        <f t="shared" si="23"/>
        <v>194.67599999999948</v>
      </c>
      <c r="D169" s="3">
        <f t="shared" si="24"/>
        <v>0.73836430555555554</v>
      </c>
      <c r="E169" s="2">
        <f t="shared" si="25"/>
        <v>0.73836430555555554</v>
      </c>
      <c r="G169" t="str">
        <f t="shared" si="20"/>
        <v>FFDFD7C0</v>
      </c>
      <c r="H169" t="s">
        <v>126</v>
      </c>
      <c r="I169">
        <v>8</v>
      </c>
      <c r="J169">
        <v>1008</v>
      </c>
      <c r="K169" t="s">
        <v>129</v>
      </c>
      <c r="N169" t="s">
        <v>127</v>
      </c>
      <c r="O169">
        <v>0</v>
      </c>
      <c r="P169">
        <v>3</v>
      </c>
      <c r="Q169">
        <v>0</v>
      </c>
      <c r="R169">
        <v>2</v>
      </c>
      <c r="S169">
        <v>1</v>
      </c>
      <c r="T169">
        <v>0</v>
      </c>
      <c r="U169">
        <v>0</v>
      </c>
      <c r="W169" t="str">
        <f>"17:43:14.445"</f>
        <v>17:43:14.445</v>
      </c>
      <c r="X169" t="str">
        <f>"17:43:14.145"</f>
        <v>17:43:14.145</v>
      </c>
      <c r="Y169" t="str">
        <f t="shared" si="21"/>
        <v>A7C771</v>
      </c>
      <c r="Z169">
        <v>0</v>
      </c>
      <c r="AA169">
        <v>0</v>
      </c>
      <c r="AB169">
        <v>2</v>
      </c>
      <c r="AC169">
        <v>0</v>
      </c>
      <c r="AE169">
        <v>0</v>
      </c>
      <c r="AF169">
        <v>8</v>
      </c>
      <c r="AG169">
        <v>3</v>
      </c>
      <c r="AH169">
        <v>0</v>
      </c>
      <c r="AI169">
        <v>9</v>
      </c>
      <c r="AJ169" t="s">
        <v>125</v>
      </c>
      <c r="AK169">
        <v>0</v>
      </c>
      <c r="AL169">
        <v>3</v>
      </c>
      <c r="AM169">
        <v>2</v>
      </c>
      <c r="AN169">
        <v>1</v>
      </c>
      <c r="AO169" t="s">
        <v>472</v>
      </c>
      <c r="AP169">
        <v>42.854275999999999</v>
      </c>
      <c r="AQ169" t="s">
        <v>473</v>
      </c>
      <c r="AR169">
        <v>-77.627741999999998</v>
      </c>
      <c r="AS169">
        <v>25</v>
      </c>
      <c r="AT169">
        <v>3425</v>
      </c>
      <c r="AU169" t="s">
        <v>123</v>
      </c>
      <c r="AV169">
        <v>102</v>
      </c>
      <c r="AW169">
        <v>157</v>
      </c>
      <c r="AX169">
        <v>-1664</v>
      </c>
      <c r="AZ169">
        <f t="shared" si="26"/>
        <v>10404</v>
      </c>
      <c r="BA169">
        <f t="shared" si="27"/>
        <v>24649</v>
      </c>
      <c r="BB169" s="1">
        <f t="shared" si="28"/>
        <v>187.22446421341417</v>
      </c>
      <c r="BJ169">
        <v>1404</v>
      </c>
      <c r="BK169">
        <v>1</v>
      </c>
      <c r="BL169" t="str">
        <f t="shared" si="22"/>
        <v xml:space="preserve">N600C   </v>
      </c>
      <c r="BM169">
        <v>2</v>
      </c>
      <c r="BO169">
        <v>0</v>
      </c>
      <c r="BP169">
        <v>0</v>
      </c>
      <c r="BQ169">
        <v>0</v>
      </c>
      <c r="BR169">
        <v>3575</v>
      </c>
      <c r="BS169">
        <v>150</v>
      </c>
      <c r="BT169" t="s">
        <v>128</v>
      </c>
      <c r="BU169">
        <v>0</v>
      </c>
      <c r="BV169">
        <v>0</v>
      </c>
      <c r="BW169">
        <v>0</v>
      </c>
      <c r="BX169">
        <v>1</v>
      </c>
      <c r="CA169">
        <v>0</v>
      </c>
      <c r="CB169">
        <v>0</v>
      </c>
      <c r="CC169">
        <v>0</v>
      </c>
      <c r="CM169" t="str">
        <f>"17:43:14.452"</f>
        <v>17:43:14.452</v>
      </c>
      <c r="CN169">
        <v>452102628</v>
      </c>
      <c r="CQ169">
        <v>0</v>
      </c>
      <c r="CR169">
        <v>2496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2</v>
      </c>
      <c r="DC169">
        <v>0</v>
      </c>
      <c r="DD169">
        <v>2</v>
      </c>
      <c r="DE169">
        <v>0</v>
      </c>
      <c r="DF169">
        <v>7</v>
      </c>
      <c r="DG169">
        <v>7</v>
      </c>
      <c r="DH169" t="s">
        <v>124</v>
      </c>
      <c r="DI169">
        <v>71</v>
      </c>
      <c r="DJ169">
        <v>1</v>
      </c>
      <c r="DK169" t="s">
        <v>134</v>
      </c>
      <c r="DL169" t="s">
        <v>135</v>
      </c>
      <c r="DO169">
        <v>11368493</v>
      </c>
      <c r="DQ169">
        <v>0</v>
      </c>
      <c r="DR169">
        <v>0</v>
      </c>
      <c r="DS169">
        <v>1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</row>
    <row r="170" spans="1:131" x14ac:dyDescent="0.35">
      <c r="A170" s="2" t="str">
        <f>"17:43:15.708"</f>
        <v>17:43:15.708</v>
      </c>
      <c r="B170" s="4">
        <f t="shared" si="29"/>
        <v>63795.707999999999</v>
      </c>
      <c r="C170" s="4">
        <f t="shared" si="23"/>
        <v>195.70799999999872</v>
      </c>
      <c r="D170" s="3">
        <f t="shared" si="24"/>
        <v>0.73837624999999996</v>
      </c>
      <c r="E170" s="2">
        <f t="shared" si="25"/>
        <v>0.73837624999999996</v>
      </c>
      <c r="G170" t="str">
        <f t="shared" si="20"/>
        <v>FFDFD7C0</v>
      </c>
      <c r="H170" t="s">
        <v>126</v>
      </c>
      <c r="I170">
        <v>8</v>
      </c>
      <c r="J170">
        <v>1008</v>
      </c>
      <c r="K170" t="s">
        <v>129</v>
      </c>
      <c r="N170" t="s">
        <v>127</v>
      </c>
      <c r="O170">
        <v>0</v>
      </c>
      <c r="P170">
        <v>3</v>
      </c>
      <c r="Q170">
        <v>0</v>
      </c>
      <c r="R170">
        <v>2</v>
      </c>
      <c r="S170">
        <v>1</v>
      </c>
      <c r="T170">
        <v>0</v>
      </c>
      <c r="U170">
        <v>0</v>
      </c>
      <c r="W170" t="str">
        <f>"17:43:15.438"</f>
        <v>17:43:15.438</v>
      </c>
      <c r="X170" t="str">
        <f>"17:43:15.138"</f>
        <v>17:43:15.138</v>
      </c>
      <c r="Y170" t="str">
        <f t="shared" si="21"/>
        <v>A7C771</v>
      </c>
      <c r="Z170">
        <v>0</v>
      </c>
      <c r="AA170">
        <v>0</v>
      </c>
      <c r="AB170">
        <v>2</v>
      </c>
      <c r="AC170">
        <v>0</v>
      </c>
      <c r="AE170">
        <v>0</v>
      </c>
      <c r="AF170">
        <v>8</v>
      </c>
      <c r="AG170">
        <v>3</v>
      </c>
      <c r="AH170">
        <v>0</v>
      </c>
      <c r="AI170">
        <v>9</v>
      </c>
      <c r="AJ170" t="s">
        <v>125</v>
      </c>
      <c r="AK170">
        <v>0</v>
      </c>
      <c r="AL170">
        <v>3</v>
      </c>
      <c r="AM170">
        <v>2</v>
      </c>
      <c r="AN170">
        <v>1</v>
      </c>
      <c r="AO170" t="s">
        <v>474</v>
      </c>
      <c r="AP170">
        <v>42.854962</v>
      </c>
      <c r="AQ170" t="s">
        <v>475</v>
      </c>
      <c r="AR170">
        <v>-77.627162999999996</v>
      </c>
      <c r="AS170">
        <v>25</v>
      </c>
      <c r="AT170">
        <v>3400</v>
      </c>
      <c r="AU170" t="s">
        <v>123</v>
      </c>
      <c r="AV170">
        <v>103</v>
      </c>
      <c r="AW170">
        <v>158</v>
      </c>
      <c r="AX170">
        <v>-1728</v>
      </c>
      <c r="AZ170">
        <f t="shared" si="26"/>
        <v>10609</v>
      </c>
      <c r="BA170">
        <f t="shared" si="27"/>
        <v>24964</v>
      </c>
      <c r="BB170" s="1">
        <f t="shared" si="28"/>
        <v>188.60805921274945</v>
      </c>
      <c r="BJ170">
        <v>1404</v>
      </c>
      <c r="BK170">
        <v>1</v>
      </c>
      <c r="BL170" t="str">
        <f t="shared" si="22"/>
        <v xml:space="preserve">N600C   </v>
      </c>
      <c r="BM170">
        <v>2</v>
      </c>
      <c r="BO170">
        <v>0</v>
      </c>
      <c r="BP170">
        <v>0</v>
      </c>
      <c r="BQ170">
        <v>0</v>
      </c>
      <c r="BR170">
        <v>3550</v>
      </c>
      <c r="BS170">
        <v>150</v>
      </c>
      <c r="BT170" t="s">
        <v>128</v>
      </c>
      <c r="BU170">
        <v>0</v>
      </c>
      <c r="BV170">
        <v>0</v>
      </c>
      <c r="BW170">
        <v>0</v>
      </c>
      <c r="BX170">
        <v>1</v>
      </c>
      <c r="CA170">
        <v>0</v>
      </c>
      <c r="CB170">
        <v>0</v>
      </c>
      <c r="CC170">
        <v>0</v>
      </c>
      <c r="CM170" t="str">
        <f>"17:43:15.444"</f>
        <v>17:43:15.444</v>
      </c>
      <c r="CN170">
        <v>444289657</v>
      </c>
      <c r="CQ170">
        <v>0</v>
      </c>
      <c r="CR170">
        <v>2496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2</v>
      </c>
      <c r="DC170">
        <v>0</v>
      </c>
      <c r="DD170">
        <v>2</v>
      </c>
      <c r="DE170">
        <v>0</v>
      </c>
      <c r="DF170">
        <v>7</v>
      </c>
      <c r="DG170">
        <v>7</v>
      </c>
      <c r="DH170" t="s">
        <v>124</v>
      </c>
      <c r="DI170">
        <v>71</v>
      </c>
      <c r="DJ170">
        <v>1</v>
      </c>
      <c r="DK170" t="s">
        <v>134</v>
      </c>
      <c r="DL170" t="s">
        <v>135</v>
      </c>
      <c r="DO170">
        <v>11369365</v>
      </c>
      <c r="DQ170">
        <v>0</v>
      </c>
      <c r="DR170">
        <v>0</v>
      </c>
      <c r="DS170">
        <v>1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</row>
    <row r="171" spans="1:131" x14ac:dyDescent="0.35">
      <c r="A171" s="2" t="str">
        <f>"17:43:16.911"</f>
        <v>17:43:16.911</v>
      </c>
      <c r="B171" s="4">
        <f t="shared" si="29"/>
        <v>63796.911</v>
      </c>
      <c r="C171" s="4">
        <f t="shared" si="23"/>
        <v>196.91100000000006</v>
      </c>
      <c r="D171" s="3">
        <f t="shared" si="24"/>
        <v>0.73839017361111114</v>
      </c>
      <c r="E171" s="2">
        <f t="shared" si="25"/>
        <v>0.73839017361111114</v>
      </c>
      <c r="G171" t="str">
        <f t="shared" si="20"/>
        <v>FFDFD7C0</v>
      </c>
      <c r="H171" t="s">
        <v>126</v>
      </c>
      <c r="I171">
        <v>8</v>
      </c>
      <c r="J171">
        <v>1008</v>
      </c>
      <c r="K171" t="s">
        <v>129</v>
      </c>
      <c r="N171" t="s">
        <v>127</v>
      </c>
      <c r="O171">
        <v>0</v>
      </c>
      <c r="P171">
        <v>3</v>
      </c>
      <c r="Q171">
        <v>0</v>
      </c>
      <c r="R171">
        <v>2</v>
      </c>
      <c r="S171">
        <v>1</v>
      </c>
      <c r="T171">
        <v>0</v>
      </c>
      <c r="U171">
        <v>0</v>
      </c>
      <c r="W171" t="str">
        <f>"17:43:16.516"</f>
        <v>17:43:16.516</v>
      </c>
      <c r="X171" t="str">
        <f>"17:43:16.016"</f>
        <v>17:43:16.016</v>
      </c>
      <c r="Y171" t="str">
        <f t="shared" si="21"/>
        <v>A7C771</v>
      </c>
      <c r="Z171">
        <v>0</v>
      </c>
      <c r="AA171">
        <v>0</v>
      </c>
      <c r="AB171">
        <v>2</v>
      </c>
      <c r="AC171">
        <v>0</v>
      </c>
      <c r="AE171">
        <v>0</v>
      </c>
      <c r="AF171">
        <v>8</v>
      </c>
      <c r="AG171">
        <v>3</v>
      </c>
      <c r="AH171">
        <v>0</v>
      </c>
      <c r="AI171">
        <v>9</v>
      </c>
      <c r="AJ171" t="s">
        <v>125</v>
      </c>
      <c r="AK171">
        <v>0</v>
      </c>
      <c r="AL171">
        <v>3</v>
      </c>
      <c r="AM171">
        <v>2</v>
      </c>
      <c r="AN171">
        <v>1</v>
      </c>
      <c r="AO171" t="s">
        <v>476</v>
      </c>
      <c r="AP171">
        <v>42.855798999999998</v>
      </c>
      <c r="AQ171" t="s">
        <v>477</v>
      </c>
      <c r="AR171">
        <v>-77.626455000000007</v>
      </c>
      <c r="AS171">
        <v>25</v>
      </c>
      <c r="AT171">
        <v>3375</v>
      </c>
      <c r="AU171" t="s">
        <v>123</v>
      </c>
      <c r="AV171">
        <v>103</v>
      </c>
      <c r="AW171">
        <v>159</v>
      </c>
      <c r="AX171">
        <v>-1792</v>
      </c>
      <c r="AZ171">
        <f t="shared" si="26"/>
        <v>10609</v>
      </c>
      <c r="BA171">
        <f t="shared" si="27"/>
        <v>25281</v>
      </c>
      <c r="BB171" s="1">
        <f t="shared" si="28"/>
        <v>189.44656238633627</v>
      </c>
      <c r="BJ171">
        <v>1404</v>
      </c>
      <c r="BK171">
        <v>1</v>
      </c>
      <c r="BL171" t="str">
        <f t="shared" si="22"/>
        <v xml:space="preserve">N600C   </v>
      </c>
      <c r="BM171">
        <v>2</v>
      </c>
      <c r="BO171">
        <v>0</v>
      </c>
      <c r="BP171">
        <v>0</v>
      </c>
      <c r="BQ171">
        <v>0</v>
      </c>
      <c r="BR171">
        <v>3525</v>
      </c>
      <c r="BS171">
        <v>150</v>
      </c>
      <c r="BT171" t="s">
        <v>128</v>
      </c>
      <c r="BU171">
        <v>0</v>
      </c>
      <c r="BV171">
        <v>0</v>
      </c>
      <c r="BW171">
        <v>0</v>
      </c>
      <c r="BX171">
        <v>1</v>
      </c>
      <c r="CA171">
        <v>0</v>
      </c>
      <c r="CB171">
        <v>0</v>
      </c>
      <c r="CC171">
        <v>0</v>
      </c>
      <c r="CM171" t="str">
        <f>"17:43:16.516"</f>
        <v>17:43:16.516</v>
      </c>
      <c r="CN171">
        <v>516495247</v>
      </c>
      <c r="CQ171">
        <v>0</v>
      </c>
      <c r="CR171">
        <v>2496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2</v>
      </c>
      <c r="DC171">
        <v>0</v>
      </c>
      <c r="DD171">
        <v>2</v>
      </c>
      <c r="DE171">
        <v>0</v>
      </c>
      <c r="DF171">
        <v>7</v>
      </c>
      <c r="DG171">
        <v>7</v>
      </c>
      <c r="DH171" t="s">
        <v>124</v>
      </c>
      <c r="DI171">
        <v>71</v>
      </c>
      <c r="DJ171">
        <v>1</v>
      </c>
      <c r="DK171" t="s">
        <v>134</v>
      </c>
      <c r="DL171" t="s">
        <v>135</v>
      </c>
      <c r="DO171">
        <v>11370369</v>
      </c>
      <c r="DQ171">
        <v>0</v>
      </c>
      <c r="DR171">
        <v>0</v>
      </c>
      <c r="DS171">
        <v>1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</row>
    <row r="172" spans="1:131" x14ac:dyDescent="0.35">
      <c r="A172" s="2" t="str">
        <f>"17:43:17.661"</f>
        <v>17:43:17.661</v>
      </c>
      <c r="B172" s="4">
        <f t="shared" si="29"/>
        <v>63797.660999999993</v>
      </c>
      <c r="C172" s="4">
        <f t="shared" si="23"/>
        <v>197.66099999999278</v>
      </c>
      <c r="D172" s="3">
        <f t="shared" si="24"/>
        <v>0.73839885416666662</v>
      </c>
      <c r="E172" s="2">
        <f t="shared" si="25"/>
        <v>0.73839885416666662</v>
      </c>
      <c r="G172" t="str">
        <f t="shared" si="20"/>
        <v>FFDFD7C0</v>
      </c>
      <c r="H172" t="s">
        <v>126</v>
      </c>
      <c r="I172">
        <v>8</v>
      </c>
      <c r="J172">
        <v>1008</v>
      </c>
      <c r="K172" t="s">
        <v>129</v>
      </c>
      <c r="N172" t="s">
        <v>127</v>
      </c>
      <c r="O172">
        <v>0</v>
      </c>
      <c r="P172">
        <v>3</v>
      </c>
      <c r="Q172">
        <v>0</v>
      </c>
      <c r="R172">
        <v>2</v>
      </c>
      <c r="S172">
        <v>1</v>
      </c>
      <c r="T172">
        <v>0</v>
      </c>
      <c r="U172">
        <v>0</v>
      </c>
      <c r="W172" t="str">
        <f>"17:43:17.383"</f>
        <v>17:43:17.383</v>
      </c>
      <c r="X172" t="str">
        <f>"17:43:17.083"</f>
        <v>17:43:17.083</v>
      </c>
      <c r="Y172" t="str">
        <f t="shared" si="21"/>
        <v>A7C771</v>
      </c>
      <c r="Z172">
        <v>0</v>
      </c>
      <c r="AA172">
        <v>0</v>
      </c>
      <c r="AB172">
        <v>2</v>
      </c>
      <c r="AC172">
        <v>0</v>
      </c>
      <c r="AE172">
        <v>0</v>
      </c>
      <c r="AF172">
        <v>8</v>
      </c>
      <c r="AG172">
        <v>3</v>
      </c>
      <c r="AH172">
        <v>0</v>
      </c>
      <c r="AI172">
        <v>9</v>
      </c>
      <c r="AJ172" t="s">
        <v>125</v>
      </c>
      <c r="AK172">
        <v>0</v>
      </c>
      <c r="AL172">
        <v>3</v>
      </c>
      <c r="AM172">
        <v>2</v>
      </c>
      <c r="AN172">
        <v>1</v>
      </c>
      <c r="AO172" t="s">
        <v>478</v>
      </c>
      <c r="AP172">
        <v>42.856464000000003</v>
      </c>
      <c r="AQ172" t="s">
        <v>479</v>
      </c>
      <c r="AR172">
        <v>-77.625854000000004</v>
      </c>
      <c r="AS172">
        <v>25</v>
      </c>
      <c r="AT172">
        <v>3350</v>
      </c>
      <c r="AU172" t="s">
        <v>123</v>
      </c>
      <c r="AV172">
        <v>104</v>
      </c>
      <c r="AW172">
        <v>160</v>
      </c>
      <c r="AX172">
        <v>-1856</v>
      </c>
      <c r="AZ172">
        <f t="shared" si="26"/>
        <v>10816</v>
      </c>
      <c r="BA172">
        <f t="shared" si="27"/>
        <v>25600</v>
      </c>
      <c r="BB172" s="1">
        <f t="shared" si="28"/>
        <v>190.82976707002501</v>
      </c>
      <c r="BJ172">
        <v>1404</v>
      </c>
      <c r="BK172">
        <v>1</v>
      </c>
      <c r="BL172" t="str">
        <f t="shared" si="22"/>
        <v xml:space="preserve">N600C   </v>
      </c>
      <c r="BM172">
        <v>2</v>
      </c>
      <c r="BO172">
        <v>0</v>
      </c>
      <c r="BP172">
        <v>0</v>
      </c>
      <c r="BQ172">
        <v>0</v>
      </c>
      <c r="BR172">
        <v>3475</v>
      </c>
      <c r="BS172">
        <v>125</v>
      </c>
      <c r="BT172" t="s">
        <v>128</v>
      </c>
      <c r="BU172">
        <v>0</v>
      </c>
      <c r="BV172">
        <v>0</v>
      </c>
      <c r="BW172">
        <v>0</v>
      </c>
      <c r="BX172">
        <v>1</v>
      </c>
      <c r="CA172">
        <v>0</v>
      </c>
      <c r="CB172">
        <v>0</v>
      </c>
      <c r="CC172">
        <v>0</v>
      </c>
      <c r="CM172" t="str">
        <f>"17:43:17.389"</f>
        <v>17:43:17.389</v>
      </c>
      <c r="CN172">
        <v>388655486</v>
      </c>
      <c r="CQ172">
        <v>0</v>
      </c>
      <c r="CR172">
        <v>2496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2</v>
      </c>
      <c r="DC172">
        <v>0</v>
      </c>
      <c r="DD172">
        <v>2</v>
      </c>
      <c r="DE172">
        <v>0</v>
      </c>
      <c r="DF172">
        <v>7</v>
      </c>
      <c r="DG172">
        <v>7</v>
      </c>
      <c r="DH172" t="s">
        <v>124</v>
      </c>
      <c r="DI172">
        <v>71</v>
      </c>
      <c r="DJ172">
        <v>1</v>
      </c>
      <c r="DK172" t="s">
        <v>134</v>
      </c>
      <c r="DL172" t="s">
        <v>135</v>
      </c>
      <c r="DO172">
        <v>11371154</v>
      </c>
      <c r="DQ172">
        <v>0</v>
      </c>
      <c r="DR172">
        <v>0</v>
      </c>
      <c r="DS172">
        <v>1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</row>
    <row r="173" spans="1:131" x14ac:dyDescent="0.35">
      <c r="A173" s="2" t="str">
        <f>"17:43:18.600"</f>
        <v>17:43:18.600</v>
      </c>
      <c r="B173" s="4">
        <f t="shared" si="29"/>
        <v>63798.6</v>
      </c>
      <c r="C173" s="4">
        <f t="shared" si="23"/>
        <v>198.59999999999854</v>
      </c>
      <c r="D173" s="3">
        <f t="shared" si="24"/>
        <v>0.73840972222222223</v>
      </c>
      <c r="E173" s="2">
        <f t="shared" si="25"/>
        <v>0.73840972222222223</v>
      </c>
      <c r="G173" t="str">
        <f t="shared" si="20"/>
        <v>FFDFD7C0</v>
      </c>
      <c r="H173" t="s">
        <v>126</v>
      </c>
      <c r="I173">
        <v>8</v>
      </c>
      <c r="J173">
        <v>1008</v>
      </c>
      <c r="K173" t="s">
        <v>129</v>
      </c>
      <c r="N173" t="s">
        <v>127</v>
      </c>
      <c r="O173">
        <v>0</v>
      </c>
      <c r="P173">
        <v>3</v>
      </c>
      <c r="Q173">
        <v>0</v>
      </c>
      <c r="R173">
        <v>2</v>
      </c>
      <c r="S173">
        <v>1</v>
      </c>
      <c r="T173">
        <v>0</v>
      </c>
      <c r="U173">
        <v>0</v>
      </c>
      <c r="W173" t="str">
        <f>"17:43:18.398"</f>
        <v>17:43:18.398</v>
      </c>
      <c r="X173" t="str">
        <f>"17:43:17.998"</f>
        <v>17:43:17.998</v>
      </c>
      <c r="Y173" t="str">
        <f t="shared" si="21"/>
        <v>A7C771</v>
      </c>
      <c r="Z173">
        <v>0</v>
      </c>
      <c r="AA173">
        <v>0</v>
      </c>
      <c r="AB173">
        <v>2</v>
      </c>
      <c r="AC173">
        <v>0</v>
      </c>
      <c r="AE173">
        <v>0</v>
      </c>
      <c r="AF173">
        <v>8</v>
      </c>
      <c r="AG173">
        <v>3</v>
      </c>
      <c r="AH173">
        <v>0</v>
      </c>
      <c r="AI173">
        <v>9</v>
      </c>
      <c r="AJ173" t="s">
        <v>125</v>
      </c>
      <c r="AK173">
        <v>0</v>
      </c>
      <c r="AL173">
        <v>3</v>
      </c>
      <c r="AM173">
        <v>2</v>
      </c>
      <c r="AN173">
        <v>1</v>
      </c>
      <c r="AO173" t="s">
        <v>480</v>
      </c>
      <c r="AP173">
        <v>42.857194</v>
      </c>
      <c r="AQ173" t="s">
        <v>481</v>
      </c>
      <c r="AR173">
        <v>-77.625209999999996</v>
      </c>
      <c r="AS173">
        <v>25</v>
      </c>
      <c r="AT173">
        <v>3300</v>
      </c>
      <c r="AU173" t="s">
        <v>123</v>
      </c>
      <c r="AV173">
        <v>104</v>
      </c>
      <c r="AW173">
        <v>161</v>
      </c>
      <c r="AX173">
        <v>-1856</v>
      </c>
      <c r="AZ173">
        <f t="shared" si="26"/>
        <v>10816</v>
      </c>
      <c r="BA173">
        <f t="shared" si="27"/>
        <v>25921</v>
      </c>
      <c r="BB173" s="1">
        <f t="shared" si="28"/>
        <v>191.66898549321954</v>
      </c>
      <c r="BJ173">
        <v>1404</v>
      </c>
      <c r="BK173">
        <v>1</v>
      </c>
      <c r="BL173" t="str">
        <f t="shared" si="22"/>
        <v xml:space="preserve">N600C   </v>
      </c>
      <c r="BM173">
        <v>2</v>
      </c>
      <c r="BO173">
        <v>0</v>
      </c>
      <c r="BP173">
        <v>0</v>
      </c>
      <c r="BQ173">
        <v>0</v>
      </c>
      <c r="BR173">
        <v>3475</v>
      </c>
      <c r="BS173">
        <v>175</v>
      </c>
      <c r="BT173" t="s">
        <v>128</v>
      </c>
      <c r="BU173">
        <v>0</v>
      </c>
      <c r="BV173">
        <v>0</v>
      </c>
      <c r="BW173">
        <v>0</v>
      </c>
      <c r="BX173">
        <v>1</v>
      </c>
      <c r="CA173">
        <v>0</v>
      </c>
      <c r="CB173">
        <v>0</v>
      </c>
      <c r="CC173">
        <v>0</v>
      </c>
      <c r="CM173" t="str">
        <f>"17:43:18.405"</f>
        <v>17:43:18.405</v>
      </c>
      <c r="CN173">
        <v>404876272</v>
      </c>
      <c r="CQ173">
        <v>0</v>
      </c>
      <c r="CR173">
        <v>2496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2</v>
      </c>
      <c r="DC173">
        <v>0</v>
      </c>
      <c r="DD173">
        <v>2</v>
      </c>
      <c r="DE173">
        <v>0</v>
      </c>
      <c r="DF173">
        <v>7</v>
      </c>
      <c r="DG173">
        <v>7</v>
      </c>
      <c r="DH173" t="s">
        <v>124</v>
      </c>
      <c r="DI173">
        <v>71</v>
      </c>
      <c r="DJ173">
        <v>1</v>
      </c>
      <c r="DK173" t="s">
        <v>134</v>
      </c>
      <c r="DL173" t="s">
        <v>135</v>
      </c>
      <c r="DO173">
        <v>11372007</v>
      </c>
      <c r="DQ173">
        <v>0</v>
      </c>
      <c r="DR173">
        <v>0</v>
      </c>
      <c r="DS173">
        <v>1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</row>
    <row r="174" spans="1:131" x14ac:dyDescent="0.35">
      <c r="A174" s="2" t="str">
        <f>"17:43:19.615"</f>
        <v>17:43:19.615</v>
      </c>
      <c r="B174" s="4">
        <f t="shared" si="29"/>
        <v>63799.614999999998</v>
      </c>
      <c r="C174" s="4">
        <f t="shared" si="23"/>
        <v>199.61499999999796</v>
      </c>
      <c r="D174" s="3">
        <f t="shared" si="24"/>
        <v>0.73842146990740742</v>
      </c>
      <c r="E174" s="2">
        <f t="shared" si="25"/>
        <v>0.73842146990740742</v>
      </c>
      <c r="G174" t="str">
        <f t="shared" si="20"/>
        <v>FFDFD7C0</v>
      </c>
      <c r="H174" t="s">
        <v>126</v>
      </c>
      <c r="I174">
        <v>8</v>
      </c>
      <c r="J174">
        <v>1008</v>
      </c>
      <c r="K174" t="s">
        <v>129</v>
      </c>
      <c r="N174" t="s">
        <v>127</v>
      </c>
      <c r="O174">
        <v>0</v>
      </c>
      <c r="P174">
        <v>3</v>
      </c>
      <c r="Q174">
        <v>0</v>
      </c>
      <c r="R174">
        <v>2</v>
      </c>
      <c r="S174">
        <v>1</v>
      </c>
      <c r="T174">
        <v>0</v>
      </c>
      <c r="U174">
        <v>0</v>
      </c>
      <c r="W174" t="str">
        <f>"17:43:19.320"</f>
        <v>17:43:19.320</v>
      </c>
      <c r="X174" t="str">
        <f>"17:43:19.120"</f>
        <v>17:43:19.120</v>
      </c>
      <c r="Y174" t="str">
        <f t="shared" si="21"/>
        <v>A7C771</v>
      </c>
      <c r="Z174">
        <v>0</v>
      </c>
      <c r="AA174">
        <v>0</v>
      </c>
      <c r="AB174">
        <v>2</v>
      </c>
      <c r="AC174">
        <v>0</v>
      </c>
      <c r="AE174">
        <v>0</v>
      </c>
      <c r="AF174">
        <v>8</v>
      </c>
      <c r="AG174">
        <v>3</v>
      </c>
      <c r="AH174">
        <v>0</v>
      </c>
      <c r="AI174">
        <v>9</v>
      </c>
      <c r="AJ174" t="s">
        <v>125</v>
      </c>
      <c r="AK174">
        <v>0</v>
      </c>
      <c r="AL174">
        <v>3</v>
      </c>
      <c r="AM174">
        <v>2</v>
      </c>
      <c r="AN174">
        <v>1</v>
      </c>
      <c r="AO174" t="s">
        <v>482</v>
      </c>
      <c r="AP174">
        <v>42.857902000000003</v>
      </c>
      <c r="AQ174" t="s">
        <v>483</v>
      </c>
      <c r="AR174">
        <v>-77.624609000000007</v>
      </c>
      <c r="AS174">
        <v>25</v>
      </c>
      <c r="AT174">
        <v>3275</v>
      </c>
      <c r="AU174" t="s">
        <v>123</v>
      </c>
      <c r="AV174">
        <v>105</v>
      </c>
      <c r="AW174">
        <v>163</v>
      </c>
      <c r="AX174">
        <v>-1792</v>
      </c>
      <c r="AZ174">
        <f t="shared" si="26"/>
        <v>11025</v>
      </c>
      <c r="BA174">
        <f t="shared" si="27"/>
        <v>26569</v>
      </c>
      <c r="BB174" s="1">
        <f t="shared" si="28"/>
        <v>193.89172236070317</v>
      </c>
      <c r="BJ174">
        <v>1404</v>
      </c>
      <c r="BK174">
        <v>1</v>
      </c>
      <c r="BL174" t="str">
        <f t="shared" si="22"/>
        <v xml:space="preserve">N600C   </v>
      </c>
      <c r="BM174">
        <v>2</v>
      </c>
      <c r="BO174">
        <v>0</v>
      </c>
      <c r="BP174">
        <v>0</v>
      </c>
      <c r="BQ174">
        <v>0</v>
      </c>
      <c r="BR174">
        <v>3450</v>
      </c>
      <c r="BS174">
        <v>175</v>
      </c>
      <c r="BT174" t="s">
        <v>128</v>
      </c>
      <c r="BU174">
        <v>0</v>
      </c>
      <c r="BV174">
        <v>0</v>
      </c>
      <c r="BW174">
        <v>0</v>
      </c>
      <c r="BX174">
        <v>1</v>
      </c>
      <c r="CA174">
        <v>0</v>
      </c>
      <c r="CB174">
        <v>0</v>
      </c>
      <c r="CC174">
        <v>0</v>
      </c>
      <c r="CM174" t="str">
        <f>"17:43:19.325"</f>
        <v>17:43:19.325</v>
      </c>
      <c r="CN174">
        <v>325009890</v>
      </c>
      <c r="CQ174">
        <v>0</v>
      </c>
      <c r="CR174">
        <v>2496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2</v>
      </c>
      <c r="DC174">
        <v>0</v>
      </c>
      <c r="DD174">
        <v>2</v>
      </c>
      <c r="DE174">
        <v>0</v>
      </c>
      <c r="DF174">
        <v>7</v>
      </c>
      <c r="DG174">
        <v>7</v>
      </c>
      <c r="DH174" t="s">
        <v>124</v>
      </c>
      <c r="DI174">
        <v>71</v>
      </c>
      <c r="DJ174">
        <v>1</v>
      </c>
      <c r="DK174" t="s">
        <v>134</v>
      </c>
      <c r="DL174" t="s">
        <v>135</v>
      </c>
      <c r="DO174">
        <v>11372780</v>
      </c>
      <c r="DQ174">
        <v>0</v>
      </c>
      <c r="DR174">
        <v>0</v>
      </c>
      <c r="DS174">
        <v>1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</row>
    <row r="175" spans="1:131" x14ac:dyDescent="0.35">
      <c r="A175" s="2" t="str">
        <f>"17:43:20.583"</f>
        <v>17:43:20.583</v>
      </c>
      <c r="B175" s="4">
        <f t="shared" si="29"/>
        <v>63800.582999999999</v>
      </c>
      <c r="C175" s="4">
        <f t="shared" si="23"/>
        <v>200.58299999999872</v>
      </c>
      <c r="D175" s="3">
        <f t="shared" si="24"/>
        <v>0.73843267361111109</v>
      </c>
      <c r="E175" s="2">
        <f t="shared" si="25"/>
        <v>0.73843267361111109</v>
      </c>
      <c r="G175" t="str">
        <f t="shared" si="20"/>
        <v>FFDFD7C0</v>
      </c>
      <c r="H175" t="s">
        <v>126</v>
      </c>
      <c r="I175">
        <v>8</v>
      </c>
      <c r="J175">
        <v>1008</v>
      </c>
      <c r="K175" t="s">
        <v>129</v>
      </c>
      <c r="N175" t="s">
        <v>127</v>
      </c>
      <c r="O175">
        <v>0</v>
      </c>
      <c r="P175">
        <v>3</v>
      </c>
      <c r="Q175">
        <v>0</v>
      </c>
      <c r="R175">
        <v>2</v>
      </c>
      <c r="S175">
        <v>1</v>
      </c>
      <c r="T175">
        <v>0</v>
      </c>
      <c r="U175">
        <v>0</v>
      </c>
      <c r="W175" t="str">
        <f>"17:43:20.313"</f>
        <v>17:43:20.313</v>
      </c>
      <c r="X175" t="str">
        <f>"17:43:20.313"</f>
        <v>17:43:20.313</v>
      </c>
      <c r="Y175" t="str">
        <f t="shared" si="21"/>
        <v>A7C771</v>
      </c>
      <c r="Z175">
        <v>0</v>
      </c>
      <c r="AA175">
        <v>0</v>
      </c>
      <c r="AB175">
        <v>2</v>
      </c>
      <c r="AC175">
        <v>0</v>
      </c>
      <c r="AE175">
        <v>0</v>
      </c>
      <c r="AF175">
        <v>8</v>
      </c>
      <c r="AG175">
        <v>3</v>
      </c>
      <c r="AH175">
        <v>0</v>
      </c>
      <c r="AI175">
        <v>9</v>
      </c>
      <c r="AJ175" t="s">
        <v>125</v>
      </c>
      <c r="AK175">
        <v>0</v>
      </c>
      <c r="AL175">
        <v>3</v>
      </c>
      <c r="AM175">
        <v>2</v>
      </c>
      <c r="AN175">
        <v>1</v>
      </c>
      <c r="AO175" t="s">
        <v>484</v>
      </c>
      <c r="AP175">
        <v>42.858674999999998</v>
      </c>
      <c r="AQ175" t="s">
        <v>485</v>
      </c>
      <c r="AR175">
        <v>-77.623901000000004</v>
      </c>
      <c r="AS175">
        <v>25</v>
      </c>
      <c r="AT175">
        <v>3250</v>
      </c>
      <c r="AU175" t="s">
        <v>123</v>
      </c>
      <c r="AV175">
        <v>106</v>
      </c>
      <c r="AW175">
        <v>164</v>
      </c>
      <c r="AX175">
        <v>-1728</v>
      </c>
      <c r="AZ175">
        <f t="shared" si="26"/>
        <v>11236</v>
      </c>
      <c r="BA175">
        <f t="shared" si="27"/>
        <v>26896</v>
      </c>
      <c r="BB175" s="1">
        <f t="shared" si="28"/>
        <v>195.27416623813812</v>
      </c>
      <c r="BJ175">
        <v>1404</v>
      </c>
      <c r="BK175">
        <v>1</v>
      </c>
      <c r="BL175" t="str">
        <f t="shared" si="22"/>
        <v xml:space="preserve">N600C   </v>
      </c>
      <c r="BM175">
        <v>2</v>
      </c>
      <c r="BO175">
        <v>0</v>
      </c>
      <c r="BP175">
        <v>0</v>
      </c>
      <c r="BQ175">
        <v>0</v>
      </c>
      <c r="BR175">
        <v>3425</v>
      </c>
      <c r="BS175">
        <v>175</v>
      </c>
      <c r="BT175" t="s">
        <v>128</v>
      </c>
      <c r="BU175">
        <v>0</v>
      </c>
      <c r="BV175">
        <v>0</v>
      </c>
      <c r="BW175">
        <v>0</v>
      </c>
      <c r="BX175">
        <v>1</v>
      </c>
      <c r="CA175">
        <v>0</v>
      </c>
      <c r="CB175">
        <v>0</v>
      </c>
      <c r="CC175">
        <v>0</v>
      </c>
      <c r="CM175" t="str">
        <f>"17:43:20.317"</f>
        <v>17:43:20.317</v>
      </c>
      <c r="CN175">
        <v>317189163</v>
      </c>
      <c r="CQ175">
        <v>0</v>
      </c>
      <c r="CR175">
        <v>2496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2</v>
      </c>
      <c r="DC175">
        <v>0</v>
      </c>
      <c r="DD175">
        <v>2</v>
      </c>
      <c r="DE175">
        <v>0</v>
      </c>
      <c r="DF175">
        <v>7</v>
      </c>
      <c r="DG175">
        <v>7</v>
      </c>
      <c r="DH175" t="s">
        <v>124</v>
      </c>
      <c r="DI175">
        <v>71</v>
      </c>
      <c r="DJ175">
        <v>1</v>
      </c>
      <c r="DK175" t="s">
        <v>134</v>
      </c>
      <c r="DL175" t="s">
        <v>135</v>
      </c>
      <c r="DO175">
        <v>11373604</v>
      </c>
      <c r="DQ175">
        <v>0</v>
      </c>
      <c r="DR175">
        <v>0</v>
      </c>
      <c r="DS175">
        <v>1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</row>
    <row r="176" spans="1:131" x14ac:dyDescent="0.35">
      <c r="A176" s="2" t="str">
        <f>"17:43:21.599"</f>
        <v>17:43:21.599</v>
      </c>
      <c r="B176" s="4">
        <f t="shared" si="29"/>
        <v>63801.599000000002</v>
      </c>
      <c r="C176" s="4">
        <f t="shared" si="23"/>
        <v>201.59900000000198</v>
      </c>
      <c r="D176" s="3">
        <f t="shared" si="24"/>
        <v>0.73844443287037043</v>
      </c>
      <c r="E176" s="2">
        <f t="shared" si="25"/>
        <v>0.73844443287037043</v>
      </c>
      <c r="G176" t="str">
        <f t="shared" si="20"/>
        <v>FFDFD7C0</v>
      </c>
      <c r="H176" t="s">
        <v>126</v>
      </c>
      <c r="I176">
        <v>8</v>
      </c>
      <c r="J176">
        <v>1008</v>
      </c>
      <c r="K176" t="s">
        <v>129</v>
      </c>
      <c r="N176" t="s">
        <v>127</v>
      </c>
      <c r="O176">
        <v>0</v>
      </c>
      <c r="P176">
        <v>3</v>
      </c>
      <c r="Q176">
        <v>0</v>
      </c>
      <c r="R176">
        <v>2</v>
      </c>
      <c r="S176">
        <v>1</v>
      </c>
      <c r="T176">
        <v>0</v>
      </c>
      <c r="U176">
        <v>0</v>
      </c>
      <c r="W176" t="str">
        <f>"17:43:21.336"</f>
        <v>17:43:21.336</v>
      </c>
      <c r="X176" t="str">
        <f>"17:43:21.236"</f>
        <v>17:43:21.236</v>
      </c>
      <c r="Y176" t="str">
        <f t="shared" si="21"/>
        <v>A7C771</v>
      </c>
      <c r="Z176">
        <v>0</v>
      </c>
      <c r="AA176">
        <v>0</v>
      </c>
      <c r="AB176">
        <v>2</v>
      </c>
      <c r="AC176">
        <v>0</v>
      </c>
      <c r="AE176">
        <v>0</v>
      </c>
      <c r="AF176">
        <v>8</v>
      </c>
      <c r="AG176">
        <v>3</v>
      </c>
      <c r="AH176">
        <v>0</v>
      </c>
      <c r="AI176">
        <v>9</v>
      </c>
      <c r="AJ176" t="s">
        <v>125</v>
      </c>
      <c r="AK176">
        <v>0</v>
      </c>
      <c r="AL176">
        <v>3</v>
      </c>
      <c r="AM176">
        <v>2</v>
      </c>
      <c r="AN176">
        <v>1</v>
      </c>
      <c r="AO176" t="s">
        <v>486</v>
      </c>
      <c r="AP176">
        <v>42.859403999999998</v>
      </c>
      <c r="AQ176" t="s">
        <v>487</v>
      </c>
      <c r="AR176">
        <v>-77.623258000000007</v>
      </c>
      <c r="AS176">
        <v>25</v>
      </c>
      <c r="AT176">
        <v>3225</v>
      </c>
      <c r="AU176" t="s">
        <v>123</v>
      </c>
      <c r="AV176">
        <v>107</v>
      </c>
      <c r="AW176">
        <v>165</v>
      </c>
      <c r="AX176">
        <v>-1600</v>
      </c>
      <c r="AZ176">
        <f t="shared" si="26"/>
        <v>11449</v>
      </c>
      <c r="BA176">
        <f t="shared" si="27"/>
        <v>27225</v>
      </c>
      <c r="BB176" s="1">
        <f t="shared" si="28"/>
        <v>196.65706191235543</v>
      </c>
      <c r="BJ176">
        <v>1404</v>
      </c>
      <c r="BK176">
        <v>1</v>
      </c>
      <c r="BL176" t="str">
        <f t="shared" si="22"/>
        <v xml:space="preserve">N600C   </v>
      </c>
      <c r="BM176">
        <v>2</v>
      </c>
      <c r="BO176">
        <v>0</v>
      </c>
      <c r="BP176">
        <v>0</v>
      </c>
      <c r="BQ176">
        <v>0</v>
      </c>
      <c r="BR176">
        <v>3400</v>
      </c>
      <c r="BS176">
        <v>175</v>
      </c>
      <c r="BT176" t="s">
        <v>128</v>
      </c>
      <c r="BU176">
        <v>0</v>
      </c>
      <c r="BV176">
        <v>0</v>
      </c>
      <c r="BW176">
        <v>0</v>
      </c>
      <c r="BX176">
        <v>1</v>
      </c>
      <c r="CA176">
        <v>0</v>
      </c>
      <c r="CB176">
        <v>0</v>
      </c>
      <c r="CC176">
        <v>0</v>
      </c>
      <c r="CM176" t="str">
        <f>"17:43:21.341"</f>
        <v>17:43:21.341</v>
      </c>
      <c r="CN176">
        <v>341386880</v>
      </c>
      <c r="CQ176">
        <v>0</v>
      </c>
      <c r="CR176">
        <v>2496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2</v>
      </c>
      <c r="DC176">
        <v>0</v>
      </c>
      <c r="DD176">
        <v>2</v>
      </c>
      <c r="DE176">
        <v>0</v>
      </c>
      <c r="DF176">
        <v>7</v>
      </c>
      <c r="DG176">
        <v>7</v>
      </c>
      <c r="DH176" t="s">
        <v>124</v>
      </c>
      <c r="DI176">
        <v>71</v>
      </c>
      <c r="DJ176">
        <v>1</v>
      </c>
      <c r="DK176" t="s">
        <v>134</v>
      </c>
      <c r="DL176" t="s">
        <v>135</v>
      </c>
      <c r="DO176">
        <v>11374557</v>
      </c>
      <c r="DQ176">
        <v>0</v>
      </c>
      <c r="DR176">
        <v>0</v>
      </c>
      <c r="DS176">
        <v>1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</row>
    <row r="177" spans="1:131" x14ac:dyDescent="0.35">
      <c r="A177" s="2" t="str">
        <f>"17:43:22.724"</f>
        <v>17:43:22.724</v>
      </c>
      <c r="B177" s="4">
        <f t="shared" si="29"/>
        <v>63802.724000000002</v>
      </c>
      <c r="C177" s="4">
        <f t="shared" si="23"/>
        <v>202.72400000000198</v>
      </c>
      <c r="D177" s="3">
        <f t="shared" si="24"/>
        <v>0.73845745370370375</v>
      </c>
      <c r="E177" s="2">
        <f t="shared" si="25"/>
        <v>0.73845745370370375</v>
      </c>
      <c r="G177" t="str">
        <f t="shared" si="20"/>
        <v>FFDFD7C0</v>
      </c>
      <c r="H177" t="s">
        <v>126</v>
      </c>
      <c r="I177">
        <v>8</v>
      </c>
      <c r="J177">
        <v>1008</v>
      </c>
      <c r="K177" t="s">
        <v>129</v>
      </c>
      <c r="N177" t="s">
        <v>127</v>
      </c>
      <c r="O177">
        <v>0</v>
      </c>
      <c r="P177">
        <v>3</v>
      </c>
      <c r="Q177">
        <v>0</v>
      </c>
      <c r="R177">
        <v>2</v>
      </c>
      <c r="S177">
        <v>1</v>
      </c>
      <c r="T177">
        <v>0</v>
      </c>
      <c r="U177">
        <v>0</v>
      </c>
      <c r="W177" t="str">
        <f>"17:43:22.484"</f>
        <v>17:43:22.484</v>
      </c>
      <c r="X177" t="str">
        <f>"17:43:22.284"</f>
        <v>17:43:22.284</v>
      </c>
      <c r="Y177" t="str">
        <f t="shared" si="21"/>
        <v>A7C771</v>
      </c>
      <c r="Z177">
        <v>0</v>
      </c>
      <c r="AA177">
        <v>0</v>
      </c>
      <c r="AB177">
        <v>2</v>
      </c>
      <c r="AC177">
        <v>0</v>
      </c>
      <c r="AE177">
        <v>0</v>
      </c>
      <c r="AF177">
        <v>8</v>
      </c>
      <c r="AG177">
        <v>3</v>
      </c>
      <c r="AH177">
        <v>0</v>
      </c>
      <c r="AI177">
        <v>9</v>
      </c>
      <c r="AJ177" t="s">
        <v>125</v>
      </c>
      <c r="AK177">
        <v>0</v>
      </c>
      <c r="AL177">
        <v>3</v>
      </c>
      <c r="AM177">
        <v>2</v>
      </c>
      <c r="AN177">
        <v>1</v>
      </c>
      <c r="AO177" t="s">
        <v>488</v>
      </c>
      <c r="AP177">
        <v>42.860326999999998</v>
      </c>
      <c r="AQ177" t="s">
        <v>489</v>
      </c>
      <c r="AR177">
        <v>-77.622442000000007</v>
      </c>
      <c r="AS177">
        <v>25</v>
      </c>
      <c r="AT177">
        <v>3200</v>
      </c>
      <c r="AU177" t="s">
        <v>123</v>
      </c>
      <c r="AV177">
        <v>107</v>
      </c>
      <c r="AW177">
        <v>165</v>
      </c>
      <c r="AX177">
        <v>-1600</v>
      </c>
      <c r="AZ177">
        <f t="shared" si="26"/>
        <v>11449</v>
      </c>
      <c r="BA177">
        <f t="shared" si="27"/>
        <v>27225</v>
      </c>
      <c r="BB177" s="1">
        <f t="shared" si="28"/>
        <v>196.65706191235543</v>
      </c>
      <c r="BJ177">
        <v>1404</v>
      </c>
      <c r="BK177">
        <v>1</v>
      </c>
      <c r="BL177" t="str">
        <f t="shared" si="22"/>
        <v xml:space="preserve">N600C   </v>
      </c>
      <c r="BM177">
        <v>2</v>
      </c>
      <c r="BO177">
        <v>0</v>
      </c>
      <c r="BP177">
        <v>0</v>
      </c>
      <c r="BQ177">
        <v>0</v>
      </c>
      <c r="BR177">
        <v>3350</v>
      </c>
      <c r="BS177">
        <v>150</v>
      </c>
      <c r="BT177" t="s">
        <v>128</v>
      </c>
      <c r="BU177">
        <v>0</v>
      </c>
      <c r="BV177">
        <v>0</v>
      </c>
      <c r="BW177">
        <v>0</v>
      </c>
      <c r="BX177">
        <v>1</v>
      </c>
      <c r="CA177">
        <v>0</v>
      </c>
      <c r="CB177">
        <v>0</v>
      </c>
      <c r="CC177">
        <v>0</v>
      </c>
      <c r="CM177" t="str">
        <f>"17:43:22.486"</f>
        <v>17:43:22.486</v>
      </c>
      <c r="CN177">
        <v>485630634</v>
      </c>
      <c r="CQ177">
        <v>0</v>
      </c>
      <c r="CR177">
        <v>2496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2</v>
      </c>
      <c r="DC177">
        <v>0</v>
      </c>
      <c r="DD177">
        <v>2</v>
      </c>
      <c r="DE177">
        <v>0</v>
      </c>
      <c r="DF177">
        <v>7</v>
      </c>
      <c r="DG177">
        <v>7</v>
      </c>
      <c r="DH177" t="s">
        <v>124</v>
      </c>
      <c r="DI177">
        <v>407</v>
      </c>
      <c r="DJ177">
        <v>3</v>
      </c>
      <c r="DK177" t="s">
        <v>132</v>
      </c>
      <c r="DL177" t="s">
        <v>133</v>
      </c>
      <c r="DO177">
        <v>1415858</v>
      </c>
      <c r="DQ177">
        <v>0</v>
      </c>
      <c r="DR177">
        <v>0</v>
      </c>
      <c r="DS177">
        <v>1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</row>
    <row r="178" spans="1:131" x14ac:dyDescent="0.35">
      <c r="A178" s="2" t="str">
        <f>"17:43:23.710"</f>
        <v>17:43:23.710</v>
      </c>
      <c r="B178" s="4">
        <f t="shared" si="29"/>
        <v>63803.710000000006</v>
      </c>
      <c r="C178" s="4">
        <f t="shared" si="23"/>
        <v>203.7100000000064</v>
      </c>
      <c r="D178" s="3">
        <f t="shared" si="24"/>
        <v>0.73846886574074078</v>
      </c>
      <c r="E178" s="2">
        <f t="shared" si="25"/>
        <v>0.73846886574074078</v>
      </c>
      <c r="G178" t="str">
        <f t="shared" si="20"/>
        <v>FFDFD7C0</v>
      </c>
      <c r="H178" t="s">
        <v>126</v>
      </c>
      <c r="I178">
        <v>8</v>
      </c>
      <c r="J178">
        <v>1008</v>
      </c>
      <c r="K178" t="s">
        <v>129</v>
      </c>
      <c r="N178" t="s">
        <v>127</v>
      </c>
      <c r="O178">
        <v>0</v>
      </c>
      <c r="P178">
        <v>3</v>
      </c>
      <c r="Q178">
        <v>0</v>
      </c>
      <c r="R178">
        <v>2</v>
      </c>
      <c r="S178">
        <v>1</v>
      </c>
      <c r="T178">
        <v>0</v>
      </c>
      <c r="U178">
        <v>0</v>
      </c>
      <c r="W178" t="str">
        <f>"17:43:23.484"</f>
        <v>17:43:23.484</v>
      </c>
      <c r="X178" t="str">
        <f>"17:43:23.184"</f>
        <v>17:43:23.184</v>
      </c>
      <c r="Y178" t="str">
        <f t="shared" si="21"/>
        <v>A7C771</v>
      </c>
      <c r="Z178">
        <v>0</v>
      </c>
      <c r="AA178">
        <v>0</v>
      </c>
      <c r="AB178">
        <v>2</v>
      </c>
      <c r="AC178">
        <v>0</v>
      </c>
      <c r="AE178">
        <v>0</v>
      </c>
      <c r="AF178">
        <v>8</v>
      </c>
      <c r="AG178">
        <v>3</v>
      </c>
      <c r="AH178">
        <v>0</v>
      </c>
      <c r="AI178">
        <v>9</v>
      </c>
      <c r="AJ178" t="s">
        <v>125</v>
      </c>
      <c r="AK178">
        <v>0</v>
      </c>
      <c r="AL178">
        <v>3</v>
      </c>
      <c r="AM178">
        <v>2</v>
      </c>
      <c r="AN178">
        <v>1</v>
      </c>
      <c r="AO178" t="s">
        <v>490</v>
      </c>
      <c r="AP178">
        <v>42.861099000000003</v>
      </c>
      <c r="AQ178" t="s">
        <v>491</v>
      </c>
      <c r="AR178">
        <v>-77.621734000000004</v>
      </c>
      <c r="AS178">
        <v>25</v>
      </c>
      <c r="AT178">
        <v>3150</v>
      </c>
      <c r="AU178" t="s">
        <v>123</v>
      </c>
      <c r="AV178">
        <v>107</v>
      </c>
      <c r="AW178">
        <v>166</v>
      </c>
      <c r="AX178">
        <v>-1600</v>
      </c>
      <c r="AZ178">
        <f t="shared" si="26"/>
        <v>11449</v>
      </c>
      <c r="BA178">
        <f t="shared" si="27"/>
        <v>27556</v>
      </c>
      <c r="BB178" s="1">
        <f t="shared" si="28"/>
        <v>197.49683541768459</v>
      </c>
      <c r="BJ178">
        <v>1404</v>
      </c>
      <c r="BK178">
        <v>1</v>
      </c>
      <c r="BL178" t="str">
        <f t="shared" si="22"/>
        <v xml:space="preserve">N600C   </v>
      </c>
      <c r="BM178">
        <v>2</v>
      </c>
      <c r="BO178">
        <v>0</v>
      </c>
      <c r="BP178">
        <v>0</v>
      </c>
      <c r="BQ178">
        <v>0</v>
      </c>
      <c r="BR178">
        <v>3325</v>
      </c>
      <c r="BS178">
        <v>175</v>
      </c>
      <c r="BT178" t="s">
        <v>128</v>
      </c>
      <c r="BU178">
        <v>0</v>
      </c>
      <c r="BV178">
        <v>0</v>
      </c>
      <c r="BW178">
        <v>0</v>
      </c>
      <c r="BX178">
        <v>1</v>
      </c>
      <c r="CA178">
        <v>0</v>
      </c>
      <c r="CB178">
        <v>0</v>
      </c>
      <c r="CC178">
        <v>0</v>
      </c>
      <c r="CM178" t="str">
        <f>"17:43:23.486"</f>
        <v>17:43:23.486</v>
      </c>
      <c r="CN178">
        <v>485780233</v>
      </c>
      <c r="CQ178">
        <v>0</v>
      </c>
      <c r="CR178">
        <v>2496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2</v>
      </c>
      <c r="DC178">
        <v>0</v>
      </c>
      <c r="DD178">
        <v>2</v>
      </c>
      <c r="DE178">
        <v>0</v>
      </c>
      <c r="DF178">
        <v>7</v>
      </c>
      <c r="DG178">
        <v>7</v>
      </c>
      <c r="DH178" t="s">
        <v>124</v>
      </c>
      <c r="DI178">
        <v>71</v>
      </c>
      <c r="DJ178">
        <v>1</v>
      </c>
      <c r="DK178" t="s">
        <v>134</v>
      </c>
      <c r="DL178" t="s">
        <v>135</v>
      </c>
      <c r="DO178">
        <v>11376484</v>
      </c>
      <c r="DQ178">
        <v>0</v>
      </c>
      <c r="DR178">
        <v>0</v>
      </c>
      <c r="DS178">
        <v>1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</row>
    <row r="179" spans="1:131" x14ac:dyDescent="0.35">
      <c r="A179" s="2" t="str">
        <f>"17:43:24.834"</f>
        <v>17:43:24.834</v>
      </c>
      <c r="B179" s="4">
        <f t="shared" si="29"/>
        <v>63804.834000000003</v>
      </c>
      <c r="C179" s="4">
        <f t="shared" si="23"/>
        <v>204.83400000000256</v>
      </c>
      <c r="D179" s="3">
        <f t="shared" si="24"/>
        <v>0.73848187500000007</v>
      </c>
      <c r="E179" s="2">
        <f t="shared" si="25"/>
        <v>0.73848187500000007</v>
      </c>
      <c r="G179" t="str">
        <f t="shared" si="20"/>
        <v>FFDFD7C0</v>
      </c>
      <c r="H179" t="s">
        <v>126</v>
      </c>
      <c r="I179">
        <v>8</v>
      </c>
      <c r="J179">
        <v>1008</v>
      </c>
      <c r="K179" t="s">
        <v>129</v>
      </c>
      <c r="N179" t="s">
        <v>127</v>
      </c>
      <c r="O179">
        <v>0</v>
      </c>
      <c r="P179">
        <v>3</v>
      </c>
      <c r="Q179">
        <v>0</v>
      </c>
      <c r="R179">
        <v>2</v>
      </c>
      <c r="S179">
        <v>1</v>
      </c>
      <c r="T179">
        <v>0</v>
      </c>
      <c r="U179">
        <v>0</v>
      </c>
      <c r="W179" t="str">
        <f>"17:43:24.547"</f>
        <v>17:43:24.547</v>
      </c>
      <c r="X179" t="str">
        <f>"17:43:24.247"</f>
        <v>17:43:24.247</v>
      </c>
      <c r="Y179" t="str">
        <f t="shared" si="21"/>
        <v>A7C771</v>
      </c>
      <c r="Z179">
        <v>0</v>
      </c>
      <c r="AA179">
        <v>0</v>
      </c>
      <c r="AB179">
        <v>2</v>
      </c>
      <c r="AC179">
        <v>0</v>
      </c>
      <c r="AE179">
        <v>0</v>
      </c>
      <c r="AF179">
        <v>8</v>
      </c>
      <c r="AG179">
        <v>3</v>
      </c>
      <c r="AH179">
        <v>0</v>
      </c>
      <c r="AI179">
        <v>9</v>
      </c>
      <c r="AJ179" t="s">
        <v>125</v>
      </c>
      <c r="AK179">
        <v>0</v>
      </c>
      <c r="AL179">
        <v>3</v>
      </c>
      <c r="AM179">
        <v>2</v>
      </c>
      <c r="AN179">
        <v>1</v>
      </c>
      <c r="AO179" t="s">
        <v>492</v>
      </c>
      <c r="AP179">
        <v>42.861871999999998</v>
      </c>
      <c r="AQ179" t="s">
        <v>493</v>
      </c>
      <c r="AR179">
        <v>-77.621089999999995</v>
      </c>
      <c r="AS179">
        <v>25</v>
      </c>
      <c r="AT179">
        <v>3125</v>
      </c>
      <c r="AU179" t="s">
        <v>123</v>
      </c>
      <c r="AV179">
        <v>108</v>
      </c>
      <c r="AW179">
        <v>167</v>
      </c>
      <c r="AX179">
        <v>-1600</v>
      </c>
      <c r="AZ179">
        <f t="shared" si="26"/>
        <v>11664</v>
      </c>
      <c r="BA179">
        <f t="shared" si="27"/>
        <v>27889</v>
      </c>
      <c r="BB179" s="1">
        <f t="shared" si="28"/>
        <v>198.8793604173143</v>
      </c>
      <c r="BJ179">
        <v>1404</v>
      </c>
      <c r="BK179">
        <v>1</v>
      </c>
      <c r="BL179" t="str">
        <f t="shared" si="22"/>
        <v xml:space="preserve">N600C   </v>
      </c>
      <c r="BM179">
        <v>2</v>
      </c>
      <c r="BO179">
        <v>0</v>
      </c>
      <c r="BP179">
        <v>0</v>
      </c>
      <c r="BQ179">
        <v>0</v>
      </c>
      <c r="BR179">
        <v>3300</v>
      </c>
      <c r="BS179">
        <v>175</v>
      </c>
      <c r="BT179" t="s">
        <v>128</v>
      </c>
      <c r="BU179">
        <v>0</v>
      </c>
      <c r="BV179">
        <v>0</v>
      </c>
      <c r="BW179">
        <v>0</v>
      </c>
      <c r="BX179">
        <v>1</v>
      </c>
      <c r="CA179">
        <v>0</v>
      </c>
      <c r="CB179">
        <v>0</v>
      </c>
      <c r="CC179">
        <v>0</v>
      </c>
      <c r="CM179" t="str">
        <f>"17:43:24.550"</f>
        <v>17:43:24.550</v>
      </c>
      <c r="CN179">
        <v>550018628</v>
      </c>
      <c r="CQ179">
        <v>0</v>
      </c>
      <c r="CR179">
        <v>2496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2</v>
      </c>
      <c r="DC179">
        <v>0</v>
      </c>
      <c r="DD179">
        <v>2</v>
      </c>
      <c r="DE179">
        <v>0</v>
      </c>
      <c r="DF179">
        <v>7</v>
      </c>
      <c r="DG179">
        <v>7</v>
      </c>
      <c r="DH179" t="s">
        <v>124</v>
      </c>
      <c r="DI179">
        <v>407</v>
      </c>
      <c r="DJ179">
        <v>3</v>
      </c>
      <c r="DK179" t="s">
        <v>132</v>
      </c>
      <c r="DL179" t="s">
        <v>133</v>
      </c>
      <c r="DO179">
        <v>1417825</v>
      </c>
      <c r="DQ179">
        <v>0</v>
      </c>
      <c r="DR179">
        <v>0</v>
      </c>
      <c r="DS179">
        <v>1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</row>
    <row r="180" spans="1:131" x14ac:dyDescent="0.35">
      <c r="A180" s="2" t="str">
        <f>"17:43:25.865"</f>
        <v>17:43:25.865</v>
      </c>
      <c r="B180" s="4">
        <f t="shared" si="29"/>
        <v>63805.864999999998</v>
      </c>
      <c r="C180" s="4">
        <f t="shared" si="23"/>
        <v>205.86499999999796</v>
      </c>
      <c r="D180" s="3">
        <f t="shared" si="24"/>
        <v>0.73849380787037033</v>
      </c>
      <c r="E180" s="2">
        <f t="shared" si="25"/>
        <v>0.73849380787037033</v>
      </c>
      <c r="G180" t="str">
        <f t="shared" si="20"/>
        <v>FFDFD7C0</v>
      </c>
      <c r="H180" t="s">
        <v>126</v>
      </c>
      <c r="I180">
        <v>8</v>
      </c>
      <c r="J180">
        <v>1008</v>
      </c>
      <c r="K180" t="s">
        <v>129</v>
      </c>
      <c r="N180" t="s">
        <v>127</v>
      </c>
      <c r="O180">
        <v>0</v>
      </c>
      <c r="P180">
        <v>3</v>
      </c>
      <c r="Q180">
        <v>0</v>
      </c>
      <c r="R180">
        <v>2</v>
      </c>
      <c r="S180">
        <v>1</v>
      </c>
      <c r="T180">
        <v>0</v>
      </c>
      <c r="U180">
        <v>0</v>
      </c>
      <c r="W180" t="str">
        <f>"17:43:25.602"</f>
        <v>17:43:25.602</v>
      </c>
      <c r="X180" t="str">
        <f>"17:43:25.302"</f>
        <v>17:43:25.302</v>
      </c>
      <c r="Y180" t="str">
        <f t="shared" si="21"/>
        <v>A7C771</v>
      </c>
      <c r="Z180">
        <v>0</v>
      </c>
      <c r="AA180">
        <v>0</v>
      </c>
      <c r="AB180">
        <v>2</v>
      </c>
      <c r="AC180">
        <v>0</v>
      </c>
      <c r="AE180">
        <v>0</v>
      </c>
      <c r="AF180">
        <v>8</v>
      </c>
      <c r="AG180">
        <v>3</v>
      </c>
      <c r="AH180">
        <v>0</v>
      </c>
      <c r="AI180">
        <v>9</v>
      </c>
      <c r="AJ180" t="s">
        <v>125</v>
      </c>
      <c r="AK180">
        <v>0</v>
      </c>
      <c r="AL180">
        <v>3</v>
      </c>
      <c r="AM180">
        <v>2</v>
      </c>
      <c r="AN180">
        <v>1</v>
      </c>
      <c r="AO180" t="s">
        <v>494</v>
      </c>
      <c r="AP180">
        <v>42.862729999999999</v>
      </c>
      <c r="AQ180" t="s">
        <v>495</v>
      </c>
      <c r="AR180">
        <v>-77.620295999999996</v>
      </c>
      <c r="AS180">
        <v>25</v>
      </c>
      <c r="AT180">
        <v>3100</v>
      </c>
      <c r="AU180" t="s">
        <v>123</v>
      </c>
      <c r="AV180">
        <v>108</v>
      </c>
      <c r="AW180">
        <v>167</v>
      </c>
      <c r="AX180">
        <v>-1664</v>
      </c>
      <c r="AZ180">
        <f t="shared" si="26"/>
        <v>11664</v>
      </c>
      <c r="BA180">
        <f t="shared" si="27"/>
        <v>27889</v>
      </c>
      <c r="BB180" s="1">
        <f t="shared" si="28"/>
        <v>198.8793604173143</v>
      </c>
      <c r="BJ180">
        <v>1404</v>
      </c>
      <c r="BK180">
        <v>1</v>
      </c>
      <c r="BL180" t="str">
        <f t="shared" si="22"/>
        <v xml:space="preserve">N600C   </v>
      </c>
      <c r="BM180">
        <v>2</v>
      </c>
      <c r="BO180">
        <v>0</v>
      </c>
      <c r="BP180">
        <v>0</v>
      </c>
      <c r="BQ180">
        <v>0</v>
      </c>
      <c r="BR180">
        <v>3275</v>
      </c>
      <c r="BS180">
        <v>175</v>
      </c>
      <c r="BT180" t="s">
        <v>128</v>
      </c>
      <c r="BU180">
        <v>0</v>
      </c>
      <c r="BV180">
        <v>0</v>
      </c>
      <c r="BW180">
        <v>0</v>
      </c>
      <c r="BX180">
        <v>1</v>
      </c>
      <c r="CA180">
        <v>0</v>
      </c>
      <c r="CB180">
        <v>0</v>
      </c>
      <c r="CC180">
        <v>0</v>
      </c>
      <c r="CM180" t="str">
        <f>"17:43:25.606"</f>
        <v>17:43:25.606</v>
      </c>
      <c r="CN180">
        <v>606183975</v>
      </c>
      <c r="CQ180">
        <v>0</v>
      </c>
      <c r="CR180">
        <v>2496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2</v>
      </c>
      <c r="DC180">
        <v>0</v>
      </c>
      <c r="DD180">
        <v>2</v>
      </c>
      <c r="DE180">
        <v>0</v>
      </c>
      <c r="DF180">
        <v>7</v>
      </c>
      <c r="DG180">
        <v>7</v>
      </c>
      <c r="DH180" t="s">
        <v>124</v>
      </c>
      <c r="DI180">
        <v>71</v>
      </c>
      <c r="DJ180">
        <v>1</v>
      </c>
      <c r="DK180" t="s">
        <v>134</v>
      </c>
      <c r="DL180" t="s">
        <v>135</v>
      </c>
      <c r="DO180">
        <v>11378365</v>
      </c>
      <c r="DQ180">
        <v>0</v>
      </c>
      <c r="DR180">
        <v>0</v>
      </c>
      <c r="DS180">
        <v>1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</row>
    <row r="181" spans="1:131" x14ac:dyDescent="0.35">
      <c r="A181" s="2" t="str">
        <f>"17:43:26.834"</f>
        <v>17:43:26.834</v>
      </c>
      <c r="B181" s="4">
        <f t="shared" si="29"/>
        <v>63806.834000000003</v>
      </c>
      <c r="C181" s="4">
        <f t="shared" si="23"/>
        <v>206.83400000000256</v>
      </c>
      <c r="D181" s="3">
        <f t="shared" si="24"/>
        <v>0.73850502314814814</v>
      </c>
      <c r="E181" s="2">
        <f t="shared" si="25"/>
        <v>0.73850502314814814</v>
      </c>
      <c r="G181" t="str">
        <f t="shared" si="20"/>
        <v>FFDFD7C0</v>
      </c>
      <c r="H181" t="s">
        <v>126</v>
      </c>
      <c r="I181">
        <v>8</v>
      </c>
      <c r="J181">
        <v>1008</v>
      </c>
      <c r="K181" t="s">
        <v>129</v>
      </c>
      <c r="N181" t="s">
        <v>127</v>
      </c>
      <c r="O181">
        <v>0</v>
      </c>
      <c r="P181">
        <v>3</v>
      </c>
      <c r="Q181">
        <v>0</v>
      </c>
      <c r="R181">
        <v>2</v>
      </c>
      <c r="S181">
        <v>1</v>
      </c>
      <c r="T181">
        <v>0</v>
      </c>
      <c r="U181">
        <v>0</v>
      </c>
      <c r="W181" t="str">
        <f>"17:43:26.531"</f>
        <v>17:43:26.531</v>
      </c>
      <c r="X181" t="str">
        <f>"17:43:26.331"</f>
        <v>17:43:26.331</v>
      </c>
      <c r="Y181" t="str">
        <f t="shared" si="21"/>
        <v>A7C771</v>
      </c>
      <c r="Z181">
        <v>0</v>
      </c>
      <c r="AA181">
        <v>0</v>
      </c>
      <c r="AB181">
        <v>2</v>
      </c>
      <c r="AC181">
        <v>0</v>
      </c>
      <c r="AE181">
        <v>0</v>
      </c>
      <c r="AF181">
        <v>8</v>
      </c>
      <c r="AG181">
        <v>3</v>
      </c>
      <c r="AH181">
        <v>0</v>
      </c>
      <c r="AI181">
        <v>9</v>
      </c>
      <c r="AJ181" t="s">
        <v>125</v>
      </c>
      <c r="AK181">
        <v>0</v>
      </c>
      <c r="AL181">
        <v>3</v>
      </c>
      <c r="AM181">
        <v>2</v>
      </c>
      <c r="AN181">
        <v>1</v>
      </c>
      <c r="AO181" t="s">
        <v>496</v>
      </c>
      <c r="AP181">
        <v>42.863438000000002</v>
      </c>
      <c r="AQ181" t="s">
        <v>497</v>
      </c>
      <c r="AR181">
        <v>-77.619696000000005</v>
      </c>
      <c r="AS181">
        <v>25</v>
      </c>
      <c r="AT181">
        <v>3075</v>
      </c>
      <c r="AU181" t="s">
        <v>123</v>
      </c>
      <c r="AV181">
        <v>109</v>
      </c>
      <c r="AW181">
        <v>168</v>
      </c>
      <c r="AX181">
        <v>-1664</v>
      </c>
      <c r="AZ181">
        <f t="shared" si="26"/>
        <v>11881</v>
      </c>
      <c r="BA181">
        <f t="shared" si="27"/>
        <v>28224</v>
      </c>
      <c r="BB181" s="1">
        <f t="shared" si="28"/>
        <v>200.26232796010336</v>
      </c>
      <c r="BJ181">
        <v>1404</v>
      </c>
      <c r="BK181">
        <v>1</v>
      </c>
      <c r="BL181" t="str">
        <f t="shared" si="22"/>
        <v xml:space="preserve">N600C   </v>
      </c>
      <c r="BM181">
        <v>2</v>
      </c>
      <c r="BO181">
        <v>0</v>
      </c>
      <c r="BP181">
        <v>0</v>
      </c>
      <c r="BQ181">
        <v>0</v>
      </c>
      <c r="BR181">
        <v>3250</v>
      </c>
      <c r="BS181">
        <v>175</v>
      </c>
      <c r="BT181" t="s">
        <v>128</v>
      </c>
      <c r="BU181">
        <v>0</v>
      </c>
      <c r="BV181">
        <v>0</v>
      </c>
      <c r="BW181">
        <v>0</v>
      </c>
      <c r="BX181">
        <v>1</v>
      </c>
      <c r="CA181">
        <v>0</v>
      </c>
      <c r="CB181">
        <v>0</v>
      </c>
      <c r="CC181">
        <v>0</v>
      </c>
      <c r="CM181" t="str">
        <f>"17:43:26.534"</f>
        <v>17:43:26.534</v>
      </c>
      <c r="CN181">
        <v>534349178</v>
      </c>
      <c r="CQ181">
        <v>0</v>
      </c>
      <c r="CR181">
        <v>2496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2</v>
      </c>
      <c r="DC181">
        <v>0</v>
      </c>
      <c r="DD181">
        <v>2</v>
      </c>
      <c r="DE181">
        <v>0</v>
      </c>
      <c r="DF181">
        <v>7</v>
      </c>
      <c r="DG181">
        <v>7</v>
      </c>
      <c r="DH181" t="s">
        <v>124</v>
      </c>
      <c r="DI181">
        <v>71</v>
      </c>
      <c r="DJ181">
        <v>1</v>
      </c>
      <c r="DK181" t="s">
        <v>134</v>
      </c>
      <c r="DL181" t="s">
        <v>135</v>
      </c>
      <c r="DO181">
        <v>11379361</v>
      </c>
      <c r="DQ181">
        <v>0</v>
      </c>
      <c r="DR181">
        <v>0</v>
      </c>
      <c r="DS181">
        <v>1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</row>
    <row r="182" spans="1:131" x14ac:dyDescent="0.35">
      <c r="A182" s="2" t="str">
        <f>"17:43:27.850"</f>
        <v>17:43:27.850</v>
      </c>
      <c r="B182" s="4">
        <f t="shared" si="29"/>
        <v>63807.85</v>
      </c>
      <c r="C182" s="4">
        <f t="shared" si="23"/>
        <v>207.84999999999854</v>
      </c>
      <c r="D182" s="3">
        <f t="shared" si="24"/>
        <v>0.73851678240740737</v>
      </c>
      <c r="E182" s="2">
        <f t="shared" si="25"/>
        <v>0.73851678240740737</v>
      </c>
      <c r="G182" t="str">
        <f t="shared" si="20"/>
        <v>FFDFD7C0</v>
      </c>
      <c r="H182" t="s">
        <v>126</v>
      </c>
      <c r="I182">
        <v>8</v>
      </c>
      <c r="J182">
        <v>1008</v>
      </c>
      <c r="K182" t="s">
        <v>129</v>
      </c>
      <c r="N182" t="s">
        <v>127</v>
      </c>
      <c r="O182">
        <v>0</v>
      </c>
      <c r="P182">
        <v>3</v>
      </c>
      <c r="Q182">
        <v>0</v>
      </c>
      <c r="R182">
        <v>2</v>
      </c>
      <c r="S182">
        <v>1</v>
      </c>
      <c r="T182">
        <v>0</v>
      </c>
      <c r="U182">
        <v>0</v>
      </c>
      <c r="W182" t="str">
        <f>"17:43:27.563"</f>
        <v>17:43:27.563</v>
      </c>
      <c r="X182" t="str">
        <f>"17:43:27.263"</f>
        <v>17:43:27.263</v>
      </c>
      <c r="Y182" t="str">
        <f t="shared" si="21"/>
        <v>A7C771</v>
      </c>
      <c r="Z182">
        <v>0</v>
      </c>
      <c r="AA182">
        <v>0</v>
      </c>
      <c r="AB182">
        <v>2</v>
      </c>
      <c r="AC182">
        <v>0</v>
      </c>
      <c r="AE182">
        <v>0</v>
      </c>
      <c r="AF182">
        <v>8</v>
      </c>
      <c r="AG182">
        <v>3</v>
      </c>
      <c r="AH182">
        <v>0</v>
      </c>
      <c r="AI182">
        <v>9</v>
      </c>
      <c r="AJ182" t="s">
        <v>125</v>
      </c>
      <c r="AK182">
        <v>0</v>
      </c>
      <c r="AL182">
        <v>3</v>
      </c>
      <c r="AM182">
        <v>2</v>
      </c>
      <c r="AN182">
        <v>1</v>
      </c>
      <c r="AO182" t="s">
        <v>498</v>
      </c>
      <c r="AP182">
        <v>42.864317999999997</v>
      </c>
      <c r="AQ182" t="s">
        <v>499</v>
      </c>
      <c r="AR182">
        <v>-77.618922999999995</v>
      </c>
      <c r="AS182">
        <v>25</v>
      </c>
      <c r="AT182">
        <v>3050</v>
      </c>
      <c r="AU182" t="s">
        <v>123</v>
      </c>
      <c r="AV182">
        <v>109</v>
      </c>
      <c r="AW182">
        <v>168</v>
      </c>
      <c r="AX182">
        <v>-1664</v>
      </c>
      <c r="AZ182">
        <f t="shared" si="26"/>
        <v>11881</v>
      </c>
      <c r="BA182">
        <f t="shared" si="27"/>
        <v>28224</v>
      </c>
      <c r="BB182" s="1">
        <f t="shared" si="28"/>
        <v>200.26232796010336</v>
      </c>
      <c r="BJ182">
        <v>1404</v>
      </c>
      <c r="BK182">
        <v>1</v>
      </c>
      <c r="BL182" t="str">
        <f t="shared" si="22"/>
        <v xml:space="preserve">N600C   </v>
      </c>
      <c r="BM182">
        <v>2</v>
      </c>
      <c r="BO182">
        <v>0</v>
      </c>
      <c r="BP182">
        <v>0</v>
      </c>
      <c r="BQ182">
        <v>0</v>
      </c>
      <c r="BR182">
        <v>3200</v>
      </c>
      <c r="BS182">
        <v>150</v>
      </c>
      <c r="BT182" t="s">
        <v>128</v>
      </c>
      <c r="BU182">
        <v>0</v>
      </c>
      <c r="BV182">
        <v>0</v>
      </c>
      <c r="BW182">
        <v>0</v>
      </c>
      <c r="BX182">
        <v>1</v>
      </c>
      <c r="CA182">
        <v>0</v>
      </c>
      <c r="CB182">
        <v>0</v>
      </c>
      <c r="CC182">
        <v>0</v>
      </c>
      <c r="CM182" t="str">
        <f>"17:43:27.567"</f>
        <v>17:43:27.567</v>
      </c>
      <c r="CN182">
        <v>566544179</v>
      </c>
      <c r="CQ182">
        <v>0</v>
      </c>
      <c r="CR182">
        <v>2496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2</v>
      </c>
      <c r="DC182">
        <v>0</v>
      </c>
      <c r="DD182">
        <v>2</v>
      </c>
      <c r="DE182">
        <v>0</v>
      </c>
      <c r="DF182">
        <v>7</v>
      </c>
      <c r="DG182">
        <v>7</v>
      </c>
      <c r="DH182" t="s">
        <v>124</v>
      </c>
      <c r="DI182">
        <v>71</v>
      </c>
      <c r="DJ182">
        <v>1</v>
      </c>
      <c r="DK182" t="s">
        <v>134</v>
      </c>
      <c r="DL182" t="s">
        <v>135</v>
      </c>
      <c r="DO182">
        <v>11380223</v>
      </c>
      <c r="DQ182">
        <v>0</v>
      </c>
      <c r="DR182">
        <v>0</v>
      </c>
      <c r="DS182">
        <v>1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</row>
    <row r="183" spans="1:131" x14ac:dyDescent="0.35">
      <c r="A183" s="2" t="str">
        <f>"17:43:30.006"</f>
        <v>17:43:30.006</v>
      </c>
      <c r="B183" s="4">
        <f t="shared" si="29"/>
        <v>63810.006000000008</v>
      </c>
      <c r="C183" s="4">
        <f t="shared" si="23"/>
        <v>210.0060000000085</v>
      </c>
      <c r="D183" s="3">
        <f t="shared" si="24"/>
        <v>0.73854173611111118</v>
      </c>
      <c r="E183" s="2">
        <f t="shared" si="25"/>
        <v>0.73854173611111118</v>
      </c>
      <c r="G183" t="str">
        <f t="shared" si="20"/>
        <v>FFDFD7C0</v>
      </c>
      <c r="H183" t="s">
        <v>126</v>
      </c>
      <c r="I183">
        <v>8</v>
      </c>
      <c r="J183">
        <v>1008</v>
      </c>
      <c r="K183" t="s">
        <v>129</v>
      </c>
      <c r="N183" t="s">
        <v>127</v>
      </c>
      <c r="O183">
        <v>0</v>
      </c>
      <c r="P183">
        <v>3</v>
      </c>
      <c r="Q183">
        <v>0</v>
      </c>
      <c r="R183">
        <v>2</v>
      </c>
      <c r="S183">
        <v>1</v>
      </c>
      <c r="T183">
        <v>0</v>
      </c>
      <c r="U183">
        <v>0</v>
      </c>
      <c r="W183" t="str">
        <f>"17:43:29.641"</f>
        <v>17:43:29.641</v>
      </c>
      <c r="X183" t="str">
        <f>"17:43:29.641"</f>
        <v>17:43:29.641</v>
      </c>
      <c r="Y183" t="str">
        <f t="shared" si="21"/>
        <v>A7C771</v>
      </c>
      <c r="Z183">
        <v>0</v>
      </c>
      <c r="AA183">
        <v>0</v>
      </c>
      <c r="AB183">
        <v>2</v>
      </c>
      <c r="AC183">
        <v>0</v>
      </c>
      <c r="AE183">
        <v>0</v>
      </c>
      <c r="AF183">
        <v>8</v>
      </c>
      <c r="AG183">
        <v>3</v>
      </c>
      <c r="AH183">
        <v>0</v>
      </c>
      <c r="AI183">
        <v>9</v>
      </c>
      <c r="AJ183" t="s">
        <v>125</v>
      </c>
      <c r="AK183">
        <v>0</v>
      </c>
      <c r="AL183">
        <v>3</v>
      </c>
      <c r="AM183">
        <v>2</v>
      </c>
      <c r="AN183">
        <v>1</v>
      </c>
      <c r="AO183" t="s">
        <v>500</v>
      </c>
      <c r="AP183">
        <v>42.865862999999997</v>
      </c>
      <c r="AQ183" t="s">
        <v>501</v>
      </c>
      <c r="AR183">
        <v>-77.617486</v>
      </c>
      <c r="AS183">
        <v>25</v>
      </c>
      <c r="AT183">
        <v>2975</v>
      </c>
      <c r="AU183" t="s">
        <v>123</v>
      </c>
      <c r="AV183">
        <v>111</v>
      </c>
      <c r="AW183">
        <v>171</v>
      </c>
      <c r="AX183">
        <v>-1664</v>
      </c>
      <c r="AZ183">
        <f t="shared" si="26"/>
        <v>12321</v>
      </c>
      <c r="BA183">
        <f t="shared" si="27"/>
        <v>29241</v>
      </c>
      <c r="BB183" s="1">
        <f t="shared" si="28"/>
        <v>203.86760409638407</v>
      </c>
      <c r="BJ183">
        <v>1404</v>
      </c>
      <c r="BK183">
        <v>1</v>
      </c>
      <c r="BL183" t="str">
        <f t="shared" si="22"/>
        <v xml:space="preserve">N600C   </v>
      </c>
      <c r="BM183">
        <v>2</v>
      </c>
      <c r="BO183">
        <v>0</v>
      </c>
      <c r="BP183">
        <v>0</v>
      </c>
      <c r="BQ183">
        <v>0</v>
      </c>
      <c r="BR183">
        <v>3150</v>
      </c>
      <c r="BS183">
        <v>175</v>
      </c>
      <c r="BT183" t="s">
        <v>128</v>
      </c>
      <c r="BU183">
        <v>0</v>
      </c>
      <c r="BV183">
        <v>0</v>
      </c>
      <c r="BW183">
        <v>0</v>
      </c>
      <c r="BX183">
        <v>1</v>
      </c>
      <c r="CA183">
        <v>0</v>
      </c>
      <c r="CB183">
        <v>0</v>
      </c>
      <c r="CC183">
        <v>0</v>
      </c>
      <c r="CM183" t="str">
        <f>"17:43:29.647"</f>
        <v>17:43:29.647</v>
      </c>
      <c r="CN183">
        <v>646939383</v>
      </c>
      <c r="CQ183">
        <v>0</v>
      </c>
      <c r="CR183">
        <v>2496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2</v>
      </c>
      <c r="DC183">
        <v>0</v>
      </c>
      <c r="DD183">
        <v>2</v>
      </c>
      <c r="DE183">
        <v>0</v>
      </c>
      <c r="DF183">
        <v>7</v>
      </c>
      <c r="DG183">
        <v>7</v>
      </c>
      <c r="DH183" t="s">
        <v>124</v>
      </c>
      <c r="DI183">
        <v>71</v>
      </c>
      <c r="DJ183">
        <v>1</v>
      </c>
      <c r="DK183" t="s">
        <v>134</v>
      </c>
      <c r="DL183" t="s">
        <v>135</v>
      </c>
      <c r="DO183">
        <v>11381995</v>
      </c>
      <c r="DQ183">
        <v>0</v>
      </c>
      <c r="DR183">
        <v>0</v>
      </c>
      <c r="DS183">
        <v>1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</row>
    <row r="184" spans="1:131" x14ac:dyDescent="0.35">
      <c r="A184" s="2" t="str">
        <f>"17:43:30.834"</f>
        <v>17:43:30.834</v>
      </c>
      <c r="B184" s="4">
        <f t="shared" si="29"/>
        <v>63810.83400000001</v>
      </c>
      <c r="C184" s="4">
        <f t="shared" si="23"/>
        <v>210.83400000000984</v>
      </c>
      <c r="D184" s="3">
        <f t="shared" si="24"/>
        <v>0.73855131944444452</v>
      </c>
      <c r="E184" s="2">
        <f t="shared" si="25"/>
        <v>0.73855131944444452</v>
      </c>
      <c r="G184" t="str">
        <f t="shared" si="20"/>
        <v>FFDFD7C0</v>
      </c>
      <c r="H184" t="s">
        <v>126</v>
      </c>
      <c r="I184">
        <v>8</v>
      </c>
      <c r="J184">
        <v>1008</v>
      </c>
      <c r="K184" t="s">
        <v>129</v>
      </c>
      <c r="N184" t="s">
        <v>127</v>
      </c>
      <c r="O184">
        <v>0</v>
      </c>
      <c r="P184">
        <v>3</v>
      </c>
      <c r="Q184">
        <v>0</v>
      </c>
      <c r="R184">
        <v>2</v>
      </c>
      <c r="S184">
        <v>1</v>
      </c>
      <c r="T184">
        <v>0</v>
      </c>
      <c r="U184">
        <v>0</v>
      </c>
      <c r="W184" t="str">
        <f>"17:43:30.508"</f>
        <v>17:43:30.508</v>
      </c>
      <c r="X184" t="str">
        <f>"17:43:30.208"</f>
        <v>17:43:30.208</v>
      </c>
      <c r="Y184" t="str">
        <f t="shared" si="21"/>
        <v>A7C771</v>
      </c>
      <c r="Z184">
        <v>0</v>
      </c>
      <c r="AA184">
        <v>0</v>
      </c>
      <c r="AB184">
        <v>2</v>
      </c>
      <c r="AC184">
        <v>0</v>
      </c>
      <c r="AE184">
        <v>0</v>
      </c>
      <c r="AF184">
        <v>8</v>
      </c>
      <c r="AG184">
        <v>3</v>
      </c>
      <c r="AH184">
        <v>0</v>
      </c>
      <c r="AI184">
        <v>9</v>
      </c>
      <c r="AJ184" t="s">
        <v>125</v>
      </c>
      <c r="AK184">
        <v>0</v>
      </c>
      <c r="AL184">
        <v>3</v>
      </c>
      <c r="AM184">
        <v>2</v>
      </c>
      <c r="AN184">
        <v>1</v>
      </c>
      <c r="AO184" t="s">
        <v>502</v>
      </c>
      <c r="AP184">
        <v>42.866591999999997</v>
      </c>
      <c r="AQ184" t="s">
        <v>503</v>
      </c>
      <c r="AR184">
        <v>-77.616884999999996</v>
      </c>
      <c r="AS184">
        <v>25</v>
      </c>
      <c r="AT184">
        <v>2950</v>
      </c>
      <c r="AU184" t="s">
        <v>123</v>
      </c>
      <c r="AV184">
        <v>111</v>
      </c>
      <c r="AW184">
        <v>171</v>
      </c>
      <c r="AX184">
        <v>-1664</v>
      </c>
      <c r="AZ184">
        <f t="shared" si="26"/>
        <v>12321</v>
      </c>
      <c r="BA184">
        <f t="shared" si="27"/>
        <v>29241</v>
      </c>
      <c r="BB184" s="1">
        <f t="shared" si="28"/>
        <v>203.86760409638407</v>
      </c>
      <c r="BJ184">
        <v>1404</v>
      </c>
      <c r="BK184">
        <v>1</v>
      </c>
      <c r="BL184" t="str">
        <f t="shared" si="22"/>
        <v xml:space="preserve">N600C   </v>
      </c>
      <c r="BM184">
        <v>2</v>
      </c>
      <c r="BO184">
        <v>0</v>
      </c>
      <c r="BP184">
        <v>0</v>
      </c>
      <c r="BQ184">
        <v>0</v>
      </c>
      <c r="BR184">
        <v>3125</v>
      </c>
      <c r="BS184">
        <v>175</v>
      </c>
      <c r="BT184" t="s">
        <v>128</v>
      </c>
      <c r="BU184">
        <v>0</v>
      </c>
      <c r="BV184">
        <v>0</v>
      </c>
      <c r="BW184">
        <v>0</v>
      </c>
      <c r="BX184">
        <v>1</v>
      </c>
      <c r="CA184">
        <v>0</v>
      </c>
      <c r="CB184">
        <v>0</v>
      </c>
      <c r="CC184">
        <v>0</v>
      </c>
      <c r="CM184" t="str">
        <f>"17:43:30.511"</f>
        <v>17:43:30.511</v>
      </c>
      <c r="CN184">
        <v>511094464</v>
      </c>
      <c r="CQ184">
        <v>0</v>
      </c>
      <c r="CR184">
        <v>2496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2</v>
      </c>
      <c r="DC184">
        <v>0</v>
      </c>
      <c r="DD184">
        <v>2</v>
      </c>
      <c r="DE184">
        <v>0</v>
      </c>
      <c r="DF184">
        <v>7</v>
      </c>
      <c r="DG184">
        <v>7</v>
      </c>
      <c r="DH184" t="s">
        <v>124</v>
      </c>
      <c r="DI184">
        <v>71</v>
      </c>
      <c r="DJ184">
        <v>1</v>
      </c>
      <c r="DK184" t="s">
        <v>134</v>
      </c>
      <c r="DL184" t="s">
        <v>135</v>
      </c>
      <c r="DO184">
        <v>11382728</v>
      </c>
      <c r="DQ184">
        <v>0</v>
      </c>
      <c r="DR184">
        <v>0</v>
      </c>
      <c r="DS184">
        <v>1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</row>
    <row r="185" spans="1:131" x14ac:dyDescent="0.35">
      <c r="A185" s="2" t="str">
        <f>"17:43:32.006"</f>
        <v>17:43:32.006</v>
      </c>
      <c r="B185" s="4">
        <f t="shared" si="29"/>
        <v>63812.006000000001</v>
      </c>
      <c r="C185" s="4">
        <f t="shared" si="23"/>
        <v>212.00600000000122</v>
      </c>
      <c r="D185" s="3">
        <f t="shared" si="24"/>
        <v>0.73856488425925926</v>
      </c>
      <c r="E185" s="2">
        <f t="shared" si="25"/>
        <v>0.73856488425925926</v>
      </c>
      <c r="G185" t="str">
        <f t="shared" si="20"/>
        <v>FFDFD7C0</v>
      </c>
      <c r="H185" t="s">
        <v>126</v>
      </c>
      <c r="I185">
        <v>8</v>
      </c>
      <c r="J185">
        <v>1008</v>
      </c>
      <c r="K185" t="s">
        <v>129</v>
      </c>
      <c r="N185" t="s">
        <v>127</v>
      </c>
      <c r="O185">
        <v>0</v>
      </c>
      <c r="P185">
        <v>3</v>
      </c>
      <c r="Q185">
        <v>0</v>
      </c>
      <c r="R185">
        <v>2</v>
      </c>
      <c r="S185">
        <v>1</v>
      </c>
      <c r="T185">
        <v>0</v>
      </c>
      <c r="U185">
        <v>0</v>
      </c>
      <c r="W185" t="str">
        <f>"17:43:31.523"</f>
        <v>17:43:31.523</v>
      </c>
      <c r="X185" t="str">
        <f>"17:43:31.123"</f>
        <v>17:43:31.123</v>
      </c>
      <c r="Y185" t="str">
        <f t="shared" si="21"/>
        <v>A7C771</v>
      </c>
      <c r="Z185">
        <v>0</v>
      </c>
      <c r="AA185">
        <v>0</v>
      </c>
      <c r="AB185">
        <v>2</v>
      </c>
      <c r="AC185">
        <v>0</v>
      </c>
      <c r="AE185">
        <v>0</v>
      </c>
      <c r="AF185">
        <v>8</v>
      </c>
      <c r="AG185">
        <v>3</v>
      </c>
      <c r="AH185">
        <v>0</v>
      </c>
      <c r="AI185">
        <v>9</v>
      </c>
      <c r="AJ185" t="s">
        <v>125</v>
      </c>
      <c r="AK185">
        <v>0</v>
      </c>
      <c r="AL185">
        <v>3</v>
      </c>
      <c r="AM185">
        <v>2</v>
      </c>
      <c r="AN185">
        <v>1</v>
      </c>
      <c r="AO185" t="s">
        <v>504</v>
      </c>
      <c r="AP185">
        <v>42.867407999999998</v>
      </c>
      <c r="AQ185" t="s">
        <v>505</v>
      </c>
      <c r="AR185">
        <v>-77.616176999999993</v>
      </c>
      <c r="AS185">
        <v>25</v>
      </c>
      <c r="AT185">
        <v>2925</v>
      </c>
      <c r="AU185" t="s">
        <v>123</v>
      </c>
      <c r="AV185">
        <v>112</v>
      </c>
      <c r="AW185">
        <v>171</v>
      </c>
      <c r="AX185">
        <v>-1600</v>
      </c>
      <c r="AZ185">
        <f t="shared" si="26"/>
        <v>12544</v>
      </c>
      <c r="BA185">
        <f t="shared" si="27"/>
        <v>29241</v>
      </c>
      <c r="BB185" s="1">
        <f t="shared" si="28"/>
        <v>204.41379601191306</v>
      </c>
      <c r="BJ185">
        <v>1404</v>
      </c>
      <c r="BK185">
        <v>1</v>
      </c>
      <c r="BL185" t="str">
        <f t="shared" si="22"/>
        <v xml:space="preserve">N600C   </v>
      </c>
      <c r="BM185">
        <v>2</v>
      </c>
      <c r="BO185">
        <v>0</v>
      </c>
      <c r="BP185">
        <v>0</v>
      </c>
      <c r="BQ185">
        <v>0</v>
      </c>
      <c r="BR185">
        <v>3100</v>
      </c>
      <c r="BS185">
        <v>175</v>
      </c>
      <c r="BT185" t="s">
        <v>128</v>
      </c>
      <c r="BU185">
        <v>0</v>
      </c>
      <c r="BV185">
        <v>0</v>
      </c>
      <c r="BW185">
        <v>0</v>
      </c>
      <c r="BX185">
        <v>1</v>
      </c>
      <c r="CA185">
        <v>0</v>
      </c>
      <c r="CB185">
        <v>0</v>
      </c>
      <c r="CC185">
        <v>0</v>
      </c>
      <c r="CM185" t="str">
        <f>"17:43:31.527"</f>
        <v>17:43:31.527</v>
      </c>
      <c r="CN185">
        <v>527279118</v>
      </c>
      <c r="CQ185">
        <v>0</v>
      </c>
      <c r="CR185">
        <v>2496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2</v>
      </c>
      <c r="DC185">
        <v>0</v>
      </c>
      <c r="DD185">
        <v>2</v>
      </c>
      <c r="DE185">
        <v>0</v>
      </c>
      <c r="DF185">
        <v>7</v>
      </c>
      <c r="DG185">
        <v>7</v>
      </c>
      <c r="DH185" t="s">
        <v>124</v>
      </c>
      <c r="DI185">
        <v>71</v>
      </c>
      <c r="DJ185">
        <v>1</v>
      </c>
      <c r="DK185" t="s">
        <v>134</v>
      </c>
      <c r="DL185" t="s">
        <v>135</v>
      </c>
      <c r="DO185">
        <v>11383770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</row>
    <row r="186" spans="1:131" x14ac:dyDescent="0.35">
      <c r="A186" s="2" t="str">
        <f>"17:43:32.865"</f>
        <v>17:43:32.865</v>
      </c>
      <c r="B186" s="4">
        <f t="shared" si="29"/>
        <v>63812.864999999998</v>
      </c>
      <c r="C186" s="4">
        <f t="shared" si="23"/>
        <v>212.86499999999796</v>
      </c>
      <c r="D186" s="3">
        <f t="shared" si="24"/>
        <v>0.73857482638888883</v>
      </c>
      <c r="E186" s="2">
        <f t="shared" si="25"/>
        <v>0.73857482638888883</v>
      </c>
      <c r="G186" t="str">
        <f t="shared" si="20"/>
        <v>FFDFD7C0</v>
      </c>
      <c r="H186" t="s">
        <v>126</v>
      </c>
      <c r="I186">
        <v>8</v>
      </c>
      <c r="J186">
        <v>1008</v>
      </c>
      <c r="K186" t="s">
        <v>129</v>
      </c>
      <c r="N186" t="s">
        <v>127</v>
      </c>
      <c r="O186">
        <v>0</v>
      </c>
      <c r="P186">
        <v>3</v>
      </c>
      <c r="Q186">
        <v>0</v>
      </c>
      <c r="R186">
        <v>2</v>
      </c>
      <c r="S186">
        <v>1</v>
      </c>
      <c r="T186">
        <v>0</v>
      </c>
      <c r="U186">
        <v>0</v>
      </c>
      <c r="W186" t="str">
        <f>"17:43:32.578"</f>
        <v>17:43:32.578</v>
      </c>
      <c r="X186" t="str">
        <f>"17:43:32.278"</f>
        <v>17:43:32.278</v>
      </c>
      <c r="Y186" t="str">
        <f t="shared" si="21"/>
        <v>A7C771</v>
      </c>
      <c r="Z186">
        <v>0</v>
      </c>
      <c r="AA186">
        <v>0</v>
      </c>
      <c r="AB186">
        <v>2</v>
      </c>
      <c r="AC186">
        <v>0</v>
      </c>
      <c r="AE186">
        <v>0</v>
      </c>
      <c r="AF186">
        <v>8</v>
      </c>
      <c r="AG186">
        <v>3</v>
      </c>
      <c r="AH186">
        <v>0</v>
      </c>
      <c r="AI186">
        <v>9</v>
      </c>
      <c r="AJ186" t="s">
        <v>125</v>
      </c>
      <c r="AK186">
        <v>0</v>
      </c>
      <c r="AL186">
        <v>3</v>
      </c>
      <c r="AM186">
        <v>2</v>
      </c>
      <c r="AN186">
        <v>1</v>
      </c>
      <c r="AO186" t="s">
        <v>506</v>
      </c>
      <c r="AP186">
        <v>42.868288</v>
      </c>
      <c r="AQ186" t="s">
        <v>507</v>
      </c>
      <c r="AR186">
        <v>-77.615403999999998</v>
      </c>
      <c r="AS186">
        <v>25</v>
      </c>
      <c r="AT186">
        <v>2900</v>
      </c>
      <c r="AU186" t="s">
        <v>123</v>
      </c>
      <c r="AV186">
        <v>112</v>
      </c>
      <c r="AW186">
        <v>172</v>
      </c>
      <c r="AX186">
        <v>-1600</v>
      </c>
      <c r="AZ186">
        <f t="shared" si="26"/>
        <v>12544</v>
      </c>
      <c r="BA186">
        <f t="shared" si="27"/>
        <v>29584</v>
      </c>
      <c r="BB186" s="1">
        <f t="shared" si="28"/>
        <v>205.25106577067999</v>
      </c>
      <c r="BJ186">
        <v>1404</v>
      </c>
      <c r="BK186">
        <v>1</v>
      </c>
      <c r="BL186" t="str">
        <f t="shared" si="22"/>
        <v xml:space="preserve">N600C   </v>
      </c>
      <c r="BM186">
        <v>2</v>
      </c>
      <c r="BO186">
        <v>0</v>
      </c>
      <c r="BP186">
        <v>0</v>
      </c>
      <c r="BQ186">
        <v>0</v>
      </c>
      <c r="BR186">
        <v>3050</v>
      </c>
      <c r="BS186">
        <v>150</v>
      </c>
      <c r="BT186" t="s">
        <v>128</v>
      </c>
      <c r="BU186">
        <v>0</v>
      </c>
      <c r="BV186">
        <v>0</v>
      </c>
      <c r="BW186">
        <v>0</v>
      </c>
      <c r="BX186">
        <v>1</v>
      </c>
      <c r="CA186">
        <v>0</v>
      </c>
      <c r="CB186">
        <v>0</v>
      </c>
      <c r="CC186">
        <v>0</v>
      </c>
      <c r="CM186" t="str">
        <f>"17:43:32.583"</f>
        <v>17:43:32.583</v>
      </c>
      <c r="CN186">
        <v>583495581</v>
      </c>
      <c r="CQ186">
        <v>0</v>
      </c>
      <c r="CR186">
        <v>2496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2</v>
      </c>
      <c r="DC186">
        <v>0</v>
      </c>
      <c r="DD186">
        <v>2</v>
      </c>
      <c r="DE186">
        <v>0</v>
      </c>
      <c r="DF186">
        <v>7</v>
      </c>
      <c r="DG186">
        <v>7</v>
      </c>
      <c r="DH186" t="s">
        <v>124</v>
      </c>
      <c r="DI186">
        <v>71</v>
      </c>
      <c r="DJ186">
        <v>1</v>
      </c>
      <c r="DK186" t="s">
        <v>134</v>
      </c>
      <c r="DL186" t="s">
        <v>135</v>
      </c>
      <c r="DO186">
        <v>11384608</v>
      </c>
      <c r="DQ186">
        <v>0</v>
      </c>
      <c r="DR186">
        <v>0</v>
      </c>
      <c r="DS186">
        <v>1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</row>
    <row r="187" spans="1:131" x14ac:dyDescent="0.35">
      <c r="A187" s="2" t="str">
        <f>"17:43:33.804"</f>
        <v>17:43:33.804</v>
      </c>
      <c r="B187" s="4">
        <f t="shared" si="29"/>
        <v>63813.803999999996</v>
      </c>
      <c r="C187" s="4">
        <f t="shared" si="23"/>
        <v>213.80399999999645</v>
      </c>
      <c r="D187" s="3">
        <f t="shared" si="24"/>
        <v>0.73858569444444444</v>
      </c>
      <c r="E187" s="2">
        <f t="shared" si="25"/>
        <v>0.73858569444444444</v>
      </c>
      <c r="G187" t="str">
        <f t="shared" si="20"/>
        <v>FFDFD7C0</v>
      </c>
      <c r="H187" t="s">
        <v>126</v>
      </c>
      <c r="I187">
        <v>8</v>
      </c>
      <c r="J187">
        <v>1008</v>
      </c>
      <c r="K187" t="s">
        <v>129</v>
      </c>
      <c r="N187" t="s">
        <v>127</v>
      </c>
      <c r="O187">
        <v>0</v>
      </c>
      <c r="P187">
        <v>3</v>
      </c>
      <c r="Q187">
        <v>0</v>
      </c>
      <c r="R187">
        <v>2</v>
      </c>
      <c r="S187">
        <v>1</v>
      </c>
      <c r="T187">
        <v>0</v>
      </c>
      <c r="U187">
        <v>0</v>
      </c>
      <c r="W187" t="str">
        <f>"17:43:33.531"</f>
        <v>17:43:33.531</v>
      </c>
      <c r="X187" t="str">
        <f>"17:43:33.531"</f>
        <v>17:43:33.531</v>
      </c>
      <c r="Y187" t="str">
        <f t="shared" si="21"/>
        <v>A7C771</v>
      </c>
      <c r="Z187">
        <v>0</v>
      </c>
      <c r="AA187">
        <v>0</v>
      </c>
      <c r="AB187">
        <v>2</v>
      </c>
      <c r="AC187">
        <v>0</v>
      </c>
      <c r="AE187">
        <v>0</v>
      </c>
      <c r="AF187">
        <v>8</v>
      </c>
      <c r="AG187">
        <v>3</v>
      </c>
      <c r="AH187">
        <v>0</v>
      </c>
      <c r="AI187">
        <v>9</v>
      </c>
      <c r="AJ187" t="s">
        <v>125</v>
      </c>
      <c r="AK187">
        <v>0</v>
      </c>
      <c r="AL187">
        <v>3</v>
      </c>
      <c r="AM187">
        <v>2</v>
      </c>
      <c r="AN187">
        <v>1</v>
      </c>
      <c r="AO187" t="s">
        <v>508</v>
      </c>
      <c r="AP187">
        <v>42.869016999999999</v>
      </c>
      <c r="AQ187" t="s">
        <v>509</v>
      </c>
      <c r="AR187">
        <v>-77.614760000000004</v>
      </c>
      <c r="AS187">
        <v>25</v>
      </c>
      <c r="AT187">
        <v>2875</v>
      </c>
      <c r="AU187" t="s">
        <v>123</v>
      </c>
      <c r="AV187">
        <v>114</v>
      </c>
      <c r="AW187">
        <v>173</v>
      </c>
      <c r="AX187">
        <v>-1664</v>
      </c>
      <c r="AZ187">
        <f t="shared" si="26"/>
        <v>12996</v>
      </c>
      <c r="BA187">
        <f t="shared" si="27"/>
        <v>29929</v>
      </c>
      <c r="BB187" s="1">
        <f t="shared" si="28"/>
        <v>207.18349355100662</v>
      </c>
      <c r="BJ187">
        <v>1404</v>
      </c>
      <c r="BK187">
        <v>1</v>
      </c>
      <c r="BL187" t="str">
        <f t="shared" si="22"/>
        <v xml:space="preserve">N600C   </v>
      </c>
      <c r="BM187">
        <v>2</v>
      </c>
      <c r="BO187">
        <v>0</v>
      </c>
      <c r="BP187">
        <v>0</v>
      </c>
      <c r="BQ187">
        <v>0</v>
      </c>
      <c r="BR187">
        <v>3025</v>
      </c>
      <c r="BS187">
        <v>150</v>
      </c>
      <c r="BT187" t="s">
        <v>128</v>
      </c>
      <c r="BU187">
        <v>0</v>
      </c>
      <c r="BV187">
        <v>0</v>
      </c>
      <c r="BW187">
        <v>0</v>
      </c>
      <c r="BX187">
        <v>1</v>
      </c>
      <c r="CA187">
        <v>0</v>
      </c>
      <c r="CB187">
        <v>0</v>
      </c>
      <c r="CC187">
        <v>0</v>
      </c>
      <c r="CM187" t="str">
        <f>"17:43:33.536"</f>
        <v>17:43:33.536</v>
      </c>
      <c r="CN187">
        <v>535684961</v>
      </c>
      <c r="CQ187">
        <v>0</v>
      </c>
      <c r="CR187">
        <v>2496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2</v>
      </c>
      <c r="DC187">
        <v>0</v>
      </c>
      <c r="DD187">
        <v>2</v>
      </c>
      <c r="DE187">
        <v>0</v>
      </c>
      <c r="DF187">
        <v>7</v>
      </c>
      <c r="DG187">
        <v>7</v>
      </c>
      <c r="DH187" t="s">
        <v>124</v>
      </c>
      <c r="DI187">
        <v>407</v>
      </c>
      <c r="DJ187">
        <v>3</v>
      </c>
      <c r="DK187" t="s">
        <v>132</v>
      </c>
      <c r="DL187" t="s">
        <v>133</v>
      </c>
      <c r="DO187">
        <v>1426963</v>
      </c>
      <c r="DQ187">
        <v>0</v>
      </c>
      <c r="DR187">
        <v>0</v>
      </c>
      <c r="DS187">
        <v>1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</row>
    <row r="188" spans="1:131" x14ac:dyDescent="0.35">
      <c r="A188" s="2" t="str">
        <f>"17:43:34.677"</f>
        <v>17:43:34.677</v>
      </c>
      <c r="B188" s="4">
        <f t="shared" si="29"/>
        <v>63814.677000000003</v>
      </c>
      <c r="C188" s="4">
        <f t="shared" si="23"/>
        <v>214.67700000000332</v>
      </c>
      <c r="D188" s="3">
        <f t="shared" si="24"/>
        <v>0.73859579861111113</v>
      </c>
      <c r="E188" s="2">
        <f t="shared" si="25"/>
        <v>0.73859579861111113</v>
      </c>
      <c r="G188" t="str">
        <f t="shared" si="20"/>
        <v>FFDFD7C0</v>
      </c>
      <c r="H188" t="s">
        <v>126</v>
      </c>
      <c r="I188">
        <v>8</v>
      </c>
      <c r="J188">
        <v>1008</v>
      </c>
      <c r="K188" t="s">
        <v>129</v>
      </c>
      <c r="N188" t="s">
        <v>127</v>
      </c>
      <c r="O188">
        <v>0</v>
      </c>
      <c r="P188">
        <v>3</v>
      </c>
      <c r="Q188">
        <v>0</v>
      </c>
      <c r="R188">
        <v>2</v>
      </c>
      <c r="S188">
        <v>1</v>
      </c>
      <c r="T188">
        <v>0</v>
      </c>
      <c r="U188">
        <v>0</v>
      </c>
      <c r="W188" t="str">
        <f>"17:43:34.398"</f>
        <v>17:43:34.398</v>
      </c>
      <c r="X188" t="str">
        <f>"17:43:33.998"</f>
        <v>17:43:33.998</v>
      </c>
      <c r="Y188" t="str">
        <f t="shared" si="21"/>
        <v>A7C771</v>
      </c>
      <c r="Z188">
        <v>0</v>
      </c>
      <c r="AA188">
        <v>0</v>
      </c>
      <c r="AB188">
        <v>2</v>
      </c>
      <c r="AC188">
        <v>0</v>
      </c>
      <c r="AE188">
        <v>0</v>
      </c>
      <c r="AF188">
        <v>8</v>
      </c>
      <c r="AG188">
        <v>3</v>
      </c>
      <c r="AH188">
        <v>0</v>
      </c>
      <c r="AI188">
        <v>9</v>
      </c>
      <c r="AJ188" t="s">
        <v>125</v>
      </c>
      <c r="AK188">
        <v>0</v>
      </c>
      <c r="AL188">
        <v>3</v>
      </c>
      <c r="AM188">
        <v>2</v>
      </c>
      <c r="AN188">
        <v>1</v>
      </c>
      <c r="AO188" t="s">
        <v>510</v>
      </c>
      <c r="AP188">
        <v>42.869725000000003</v>
      </c>
      <c r="AQ188" t="s">
        <v>511</v>
      </c>
      <c r="AR188">
        <v>-77.614095000000006</v>
      </c>
      <c r="AS188">
        <v>25</v>
      </c>
      <c r="AT188">
        <v>2850</v>
      </c>
      <c r="AU188" t="s">
        <v>123</v>
      </c>
      <c r="AV188">
        <v>114</v>
      </c>
      <c r="AW188">
        <v>173</v>
      </c>
      <c r="AX188">
        <v>-1664</v>
      </c>
      <c r="AZ188">
        <f t="shared" si="26"/>
        <v>12996</v>
      </c>
      <c r="BA188">
        <f t="shared" si="27"/>
        <v>29929</v>
      </c>
      <c r="BB188" s="1">
        <f t="shared" si="28"/>
        <v>207.18349355100662</v>
      </c>
      <c r="BJ188">
        <v>1404</v>
      </c>
      <c r="BK188">
        <v>1</v>
      </c>
      <c r="BL188" t="str">
        <f t="shared" si="22"/>
        <v xml:space="preserve">N600C   </v>
      </c>
      <c r="BM188">
        <v>2</v>
      </c>
      <c r="BO188">
        <v>0</v>
      </c>
      <c r="BP188">
        <v>0</v>
      </c>
      <c r="BQ188">
        <v>0</v>
      </c>
      <c r="BR188">
        <v>3025</v>
      </c>
      <c r="BS188">
        <v>175</v>
      </c>
      <c r="BT188" t="s">
        <v>128</v>
      </c>
      <c r="BU188">
        <v>0</v>
      </c>
      <c r="BV188">
        <v>0</v>
      </c>
      <c r="BW188">
        <v>0</v>
      </c>
      <c r="BX188">
        <v>1</v>
      </c>
      <c r="CA188">
        <v>0</v>
      </c>
      <c r="CB188">
        <v>0</v>
      </c>
      <c r="CC188">
        <v>0</v>
      </c>
      <c r="CM188" t="str">
        <f>"17:43:34.400"</f>
        <v>17:43:34.400</v>
      </c>
      <c r="CN188">
        <v>399848907</v>
      </c>
      <c r="CQ188">
        <v>0</v>
      </c>
      <c r="CR188">
        <v>2496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2</v>
      </c>
      <c r="DC188">
        <v>0</v>
      </c>
      <c r="DD188">
        <v>2</v>
      </c>
      <c r="DE188">
        <v>0</v>
      </c>
      <c r="DF188">
        <v>7</v>
      </c>
      <c r="DG188">
        <v>7</v>
      </c>
      <c r="DH188" t="s">
        <v>124</v>
      </c>
      <c r="DI188">
        <v>407</v>
      </c>
      <c r="DJ188">
        <v>3</v>
      </c>
      <c r="DK188" t="s">
        <v>132</v>
      </c>
      <c r="DL188" t="s">
        <v>133</v>
      </c>
      <c r="DO188">
        <v>1427762</v>
      </c>
      <c r="DQ188">
        <v>0</v>
      </c>
      <c r="DR188">
        <v>0</v>
      </c>
      <c r="DS188">
        <v>1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</row>
    <row r="189" spans="1:131" x14ac:dyDescent="0.35">
      <c r="A189" s="2" t="str">
        <f>"17:43:35.505"</f>
        <v>17:43:35.505</v>
      </c>
      <c r="B189" s="4">
        <f t="shared" si="29"/>
        <v>63815.50499999999</v>
      </c>
      <c r="C189" s="4">
        <f t="shared" si="23"/>
        <v>215.5049999999901</v>
      </c>
      <c r="D189" s="3">
        <f t="shared" si="24"/>
        <v>0.73860538194444436</v>
      </c>
      <c r="E189" s="2">
        <f t="shared" si="25"/>
        <v>0.73860538194444436</v>
      </c>
      <c r="G189" t="str">
        <f t="shared" si="20"/>
        <v>FFDFD7C0</v>
      </c>
      <c r="H189" t="s">
        <v>126</v>
      </c>
      <c r="I189">
        <v>8</v>
      </c>
      <c r="J189">
        <v>1008</v>
      </c>
      <c r="K189" t="s">
        <v>129</v>
      </c>
      <c r="N189" t="s">
        <v>127</v>
      </c>
      <c r="O189">
        <v>0</v>
      </c>
      <c r="P189">
        <v>3</v>
      </c>
      <c r="Q189">
        <v>0</v>
      </c>
      <c r="R189">
        <v>2</v>
      </c>
      <c r="S189">
        <v>1</v>
      </c>
      <c r="T189">
        <v>0</v>
      </c>
      <c r="U189">
        <v>0</v>
      </c>
      <c r="W189" t="str">
        <f>"17:43:35.289"</f>
        <v>17:43:35.289</v>
      </c>
      <c r="X189" t="str">
        <f>"17:43:35.189"</f>
        <v>17:43:35.189</v>
      </c>
      <c r="Y189" t="str">
        <f t="shared" si="21"/>
        <v>A7C771</v>
      </c>
      <c r="Z189">
        <v>0</v>
      </c>
      <c r="AA189">
        <v>0</v>
      </c>
      <c r="AB189">
        <v>2</v>
      </c>
      <c r="AC189">
        <v>0</v>
      </c>
      <c r="AE189">
        <v>0</v>
      </c>
      <c r="AF189">
        <v>8</v>
      </c>
      <c r="AG189">
        <v>3</v>
      </c>
      <c r="AH189">
        <v>0</v>
      </c>
      <c r="AI189">
        <v>9</v>
      </c>
      <c r="AJ189" t="s">
        <v>125</v>
      </c>
      <c r="AK189">
        <v>0</v>
      </c>
      <c r="AL189">
        <v>3</v>
      </c>
      <c r="AM189">
        <v>2</v>
      </c>
      <c r="AN189">
        <v>1</v>
      </c>
      <c r="AO189" t="s">
        <v>512</v>
      </c>
      <c r="AP189">
        <v>42.870432999999998</v>
      </c>
      <c r="AQ189" t="s">
        <v>513</v>
      </c>
      <c r="AR189">
        <v>-77.613429999999994</v>
      </c>
      <c r="AS189">
        <v>25</v>
      </c>
      <c r="AT189">
        <v>2825</v>
      </c>
      <c r="AU189" t="s">
        <v>123</v>
      </c>
      <c r="AV189">
        <v>115</v>
      </c>
      <c r="AW189">
        <v>174</v>
      </c>
      <c r="AX189">
        <v>-1600</v>
      </c>
      <c r="AZ189">
        <f t="shared" si="26"/>
        <v>13225</v>
      </c>
      <c r="BA189">
        <f t="shared" si="27"/>
        <v>30276</v>
      </c>
      <c r="BB189" s="1">
        <f t="shared" si="28"/>
        <v>208.568933448872</v>
      </c>
      <c r="BJ189">
        <v>1404</v>
      </c>
      <c r="BK189">
        <v>1</v>
      </c>
      <c r="BL189" t="str">
        <f t="shared" si="22"/>
        <v xml:space="preserve">N600C   </v>
      </c>
      <c r="BM189">
        <v>2</v>
      </c>
      <c r="BO189">
        <v>0</v>
      </c>
      <c r="BP189">
        <v>0</v>
      </c>
      <c r="BQ189">
        <v>0</v>
      </c>
      <c r="BR189">
        <v>3000</v>
      </c>
      <c r="BS189">
        <v>175</v>
      </c>
      <c r="BT189" t="s">
        <v>128</v>
      </c>
      <c r="BU189">
        <v>0</v>
      </c>
      <c r="BV189">
        <v>0</v>
      </c>
      <c r="BW189">
        <v>0</v>
      </c>
      <c r="BX189">
        <v>1</v>
      </c>
      <c r="CA189">
        <v>0</v>
      </c>
      <c r="CB189">
        <v>0</v>
      </c>
      <c r="CC189">
        <v>0</v>
      </c>
      <c r="CM189" t="str">
        <f>"17:43:35.296"</f>
        <v>17:43:35.296</v>
      </c>
      <c r="CN189">
        <v>296041534</v>
      </c>
      <c r="CQ189">
        <v>0</v>
      </c>
      <c r="CR189">
        <v>2496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2</v>
      </c>
      <c r="DC189">
        <v>0</v>
      </c>
      <c r="DD189">
        <v>2</v>
      </c>
      <c r="DE189">
        <v>0</v>
      </c>
      <c r="DF189">
        <v>7</v>
      </c>
      <c r="DG189">
        <v>7</v>
      </c>
      <c r="DH189" t="s">
        <v>124</v>
      </c>
      <c r="DI189">
        <v>407</v>
      </c>
      <c r="DJ189">
        <v>3</v>
      </c>
      <c r="DK189" t="s">
        <v>132</v>
      </c>
      <c r="DL189" t="s">
        <v>133</v>
      </c>
      <c r="DO189">
        <v>1428650</v>
      </c>
      <c r="DQ189">
        <v>0</v>
      </c>
      <c r="DR189">
        <v>0</v>
      </c>
      <c r="DS189">
        <v>1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</row>
    <row r="190" spans="1:131" x14ac:dyDescent="0.35">
      <c r="A190" s="2" t="str">
        <f>"17:43:37.615"</f>
        <v>17:43:37.615</v>
      </c>
      <c r="B190" s="4">
        <f t="shared" si="29"/>
        <v>63817.614999999998</v>
      </c>
      <c r="C190" s="4">
        <f t="shared" si="23"/>
        <v>217.61499999999796</v>
      </c>
      <c r="D190" s="3">
        <f t="shared" si="24"/>
        <v>0.73862980324074068</v>
      </c>
      <c r="E190" s="2">
        <f t="shared" si="25"/>
        <v>0.73862980324074068</v>
      </c>
      <c r="G190" t="str">
        <f t="shared" si="20"/>
        <v>FFDFD7C0</v>
      </c>
      <c r="H190" t="s">
        <v>126</v>
      </c>
      <c r="I190">
        <v>8</v>
      </c>
      <c r="J190">
        <v>1008</v>
      </c>
      <c r="K190" t="s">
        <v>129</v>
      </c>
      <c r="N190" t="s">
        <v>127</v>
      </c>
      <c r="O190">
        <v>0</v>
      </c>
      <c r="P190">
        <v>3</v>
      </c>
      <c r="Q190">
        <v>0</v>
      </c>
      <c r="R190">
        <v>2</v>
      </c>
      <c r="S190">
        <v>1</v>
      </c>
      <c r="T190">
        <v>0</v>
      </c>
      <c r="U190">
        <v>0</v>
      </c>
      <c r="W190" t="str">
        <f>"17:43:37.352"</f>
        <v>17:43:37.352</v>
      </c>
      <c r="X190" t="str">
        <f>"17:43:37.152"</f>
        <v>17:43:37.152</v>
      </c>
      <c r="Y190" t="str">
        <f t="shared" si="21"/>
        <v>A7C771</v>
      </c>
      <c r="Z190">
        <v>0</v>
      </c>
      <c r="AA190">
        <v>0</v>
      </c>
      <c r="AB190">
        <v>2</v>
      </c>
      <c r="AC190">
        <v>0</v>
      </c>
      <c r="AE190">
        <v>0</v>
      </c>
      <c r="AF190">
        <v>8</v>
      </c>
      <c r="AG190">
        <v>3</v>
      </c>
      <c r="AH190">
        <v>0</v>
      </c>
      <c r="AI190">
        <v>9</v>
      </c>
      <c r="AJ190" t="s">
        <v>125</v>
      </c>
      <c r="AK190">
        <v>0</v>
      </c>
      <c r="AL190">
        <v>3</v>
      </c>
      <c r="AM190">
        <v>2</v>
      </c>
      <c r="AN190">
        <v>1</v>
      </c>
      <c r="AO190" t="s">
        <v>515</v>
      </c>
      <c r="AP190">
        <v>42.872086000000003</v>
      </c>
      <c r="AQ190" t="s">
        <v>516</v>
      </c>
      <c r="AR190">
        <v>-77.611948999999996</v>
      </c>
      <c r="AS190">
        <v>25</v>
      </c>
      <c r="AT190">
        <v>2750</v>
      </c>
      <c r="AU190" t="s">
        <v>123</v>
      </c>
      <c r="AV190">
        <v>116</v>
      </c>
      <c r="AW190">
        <v>175</v>
      </c>
      <c r="AX190">
        <v>-1792</v>
      </c>
      <c r="AZ190">
        <f t="shared" si="26"/>
        <v>13456</v>
      </c>
      <c r="BA190">
        <f t="shared" si="27"/>
        <v>30625</v>
      </c>
      <c r="BB190" s="1">
        <f t="shared" si="28"/>
        <v>209.95475703112803</v>
      </c>
      <c r="BJ190">
        <v>1404</v>
      </c>
      <c r="BK190">
        <v>1</v>
      </c>
      <c r="BL190" t="str">
        <f t="shared" si="22"/>
        <v xml:space="preserve">N600C   </v>
      </c>
      <c r="BM190">
        <v>2</v>
      </c>
      <c r="BO190">
        <v>0</v>
      </c>
      <c r="BP190">
        <v>0</v>
      </c>
      <c r="BQ190">
        <v>0</v>
      </c>
      <c r="BR190">
        <v>2950</v>
      </c>
      <c r="BS190">
        <v>200</v>
      </c>
      <c r="BT190" t="s">
        <v>128</v>
      </c>
      <c r="BU190">
        <v>0</v>
      </c>
      <c r="BV190">
        <v>0</v>
      </c>
      <c r="BW190">
        <v>0</v>
      </c>
      <c r="BX190">
        <v>1</v>
      </c>
      <c r="CA190">
        <v>0</v>
      </c>
      <c r="CB190">
        <v>0</v>
      </c>
      <c r="CC190">
        <v>0</v>
      </c>
      <c r="CM190" t="str">
        <f>"17:43:37.352"</f>
        <v>17:43:37.352</v>
      </c>
      <c r="CN190">
        <v>352372872</v>
      </c>
      <c r="CQ190">
        <v>0</v>
      </c>
      <c r="CR190">
        <v>2496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2</v>
      </c>
      <c r="DC190">
        <v>0</v>
      </c>
      <c r="DD190">
        <v>2</v>
      </c>
      <c r="DE190">
        <v>0</v>
      </c>
      <c r="DF190">
        <v>7</v>
      </c>
      <c r="DG190">
        <v>7</v>
      </c>
      <c r="DH190" t="s">
        <v>124</v>
      </c>
      <c r="DI190">
        <v>71</v>
      </c>
      <c r="DJ190">
        <v>1</v>
      </c>
      <c r="DK190" t="s">
        <v>134</v>
      </c>
      <c r="DL190" t="s">
        <v>135</v>
      </c>
      <c r="DO190">
        <v>11388845</v>
      </c>
      <c r="DQ190">
        <v>0</v>
      </c>
      <c r="DR190">
        <v>0</v>
      </c>
      <c r="DS190">
        <v>1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</row>
    <row r="191" spans="1:131" x14ac:dyDescent="0.35">
      <c r="A191" s="2" t="str">
        <f>"17:43:38.741"</f>
        <v>17:43:38.741</v>
      </c>
      <c r="B191" s="4">
        <f t="shared" si="29"/>
        <v>63818.741000000002</v>
      </c>
      <c r="C191" s="4">
        <f t="shared" si="23"/>
        <v>218.7410000000018</v>
      </c>
      <c r="D191" s="3">
        <f t="shared" si="24"/>
        <v>0.73864283564814814</v>
      </c>
      <c r="E191" s="2">
        <f t="shared" si="25"/>
        <v>0.73864283564814814</v>
      </c>
      <c r="G191" t="str">
        <f t="shared" si="20"/>
        <v>FFDFD7C0</v>
      </c>
      <c r="H191" t="s">
        <v>126</v>
      </c>
      <c r="I191">
        <v>8</v>
      </c>
      <c r="J191">
        <v>1008</v>
      </c>
      <c r="K191" t="s">
        <v>129</v>
      </c>
      <c r="N191" t="s">
        <v>127</v>
      </c>
      <c r="O191">
        <v>0</v>
      </c>
      <c r="P191">
        <v>3</v>
      </c>
      <c r="Q191">
        <v>0</v>
      </c>
      <c r="R191">
        <v>2</v>
      </c>
      <c r="S191">
        <v>1</v>
      </c>
      <c r="T191">
        <v>0</v>
      </c>
      <c r="U191">
        <v>0</v>
      </c>
      <c r="W191" t="str">
        <f>"17:43:38.391"</f>
        <v>17:43:38.391</v>
      </c>
      <c r="X191" t="str">
        <f>"17:43:38.091"</f>
        <v>17:43:38.091</v>
      </c>
      <c r="Y191" t="str">
        <f t="shared" si="21"/>
        <v>A7C771</v>
      </c>
      <c r="Z191">
        <v>0</v>
      </c>
      <c r="AA191">
        <v>0</v>
      </c>
      <c r="AB191">
        <v>2</v>
      </c>
      <c r="AC191">
        <v>0</v>
      </c>
      <c r="AE191">
        <v>0</v>
      </c>
      <c r="AF191">
        <v>8</v>
      </c>
      <c r="AG191">
        <v>3</v>
      </c>
      <c r="AH191">
        <v>0</v>
      </c>
      <c r="AI191">
        <v>9</v>
      </c>
      <c r="AJ191" t="s">
        <v>125</v>
      </c>
      <c r="AK191">
        <v>0</v>
      </c>
      <c r="AL191">
        <v>3</v>
      </c>
      <c r="AM191">
        <v>2</v>
      </c>
      <c r="AN191">
        <v>1</v>
      </c>
      <c r="AO191" t="s">
        <v>517</v>
      </c>
      <c r="AP191">
        <v>42.872987000000002</v>
      </c>
      <c r="AQ191" t="s">
        <v>518</v>
      </c>
      <c r="AR191">
        <v>-77.611155999999994</v>
      </c>
      <c r="AS191">
        <v>25</v>
      </c>
      <c r="AT191">
        <v>2725</v>
      </c>
      <c r="AU191" t="s">
        <v>123</v>
      </c>
      <c r="AV191">
        <v>116</v>
      </c>
      <c r="AW191">
        <v>176</v>
      </c>
      <c r="AX191">
        <v>-1728</v>
      </c>
      <c r="AZ191">
        <f t="shared" si="26"/>
        <v>13456</v>
      </c>
      <c r="BA191">
        <f t="shared" si="27"/>
        <v>30976</v>
      </c>
      <c r="BB191" s="1">
        <f t="shared" si="28"/>
        <v>210.78899402008636</v>
      </c>
      <c r="BJ191">
        <v>1404</v>
      </c>
      <c r="BK191">
        <v>1</v>
      </c>
      <c r="BL191" t="str">
        <f t="shared" si="22"/>
        <v xml:space="preserve">N600C   </v>
      </c>
      <c r="BM191">
        <v>2</v>
      </c>
      <c r="BO191">
        <v>0</v>
      </c>
      <c r="BP191">
        <v>0</v>
      </c>
      <c r="BQ191">
        <v>0</v>
      </c>
      <c r="BR191">
        <v>2900</v>
      </c>
      <c r="BS191">
        <v>175</v>
      </c>
      <c r="BT191" t="s">
        <v>128</v>
      </c>
      <c r="BU191">
        <v>0</v>
      </c>
      <c r="BV191">
        <v>0</v>
      </c>
      <c r="BW191">
        <v>0</v>
      </c>
      <c r="BX191">
        <v>1</v>
      </c>
      <c r="CA191">
        <v>0</v>
      </c>
      <c r="CB191">
        <v>0</v>
      </c>
      <c r="CC191">
        <v>0</v>
      </c>
      <c r="CM191" t="str">
        <f>"17:43:38.393"</f>
        <v>17:43:38.393</v>
      </c>
      <c r="CN191">
        <v>392571404</v>
      </c>
      <c r="CQ191">
        <v>0</v>
      </c>
      <c r="CR191">
        <v>2496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2</v>
      </c>
      <c r="DC191">
        <v>0</v>
      </c>
      <c r="DD191">
        <v>2</v>
      </c>
      <c r="DE191">
        <v>0</v>
      </c>
      <c r="DF191">
        <v>7</v>
      </c>
      <c r="DG191">
        <v>7</v>
      </c>
      <c r="DH191" t="s">
        <v>124</v>
      </c>
      <c r="DI191">
        <v>71</v>
      </c>
      <c r="DJ191">
        <v>1</v>
      </c>
      <c r="DK191" t="s">
        <v>134</v>
      </c>
      <c r="DL191" t="s">
        <v>135</v>
      </c>
      <c r="DO191">
        <v>11389678</v>
      </c>
      <c r="DQ191">
        <v>0</v>
      </c>
      <c r="DR191">
        <v>0</v>
      </c>
      <c r="DS191">
        <v>1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</row>
    <row r="192" spans="1:131" x14ac:dyDescent="0.35">
      <c r="A192" s="2" t="str">
        <f>"17:43:39.786"</f>
        <v>17:43:39.786</v>
      </c>
      <c r="B192" s="4">
        <f t="shared" si="29"/>
        <v>63819.786</v>
      </c>
      <c r="C192" s="4">
        <f t="shared" si="23"/>
        <v>219.78600000000006</v>
      </c>
      <c r="D192" s="3">
        <f t="shared" si="24"/>
        <v>0.73865493055555553</v>
      </c>
      <c r="E192" s="2">
        <f t="shared" si="25"/>
        <v>0.73865493055555553</v>
      </c>
      <c r="G192" t="str">
        <f t="shared" si="20"/>
        <v>FFDFD7C0</v>
      </c>
      <c r="H192" t="s">
        <v>126</v>
      </c>
      <c r="I192">
        <v>8</v>
      </c>
      <c r="J192">
        <v>1008</v>
      </c>
      <c r="K192" t="s">
        <v>129</v>
      </c>
      <c r="N192" t="s">
        <v>127</v>
      </c>
      <c r="O192">
        <v>0</v>
      </c>
      <c r="P192">
        <v>3</v>
      </c>
      <c r="Q192">
        <v>0</v>
      </c>
      <c r="R192">
        <v>2</v>
      </c>
      <c r="S192">
        <v>1</v>
      </c>
      <c r="T192">
        <v>0</v>
      </c>
      <c r="U192">
        <v>0</v>
      </c>
      <c r="W192" t="str">
        <f>"17:43:39.438"</f>
        <v>17:43:39.438</v>
      </c>
      <c r="X192" t="str">
        <f>"17:43:39.238"</f>
        <v>17:43:39.238</v>
      </c>
      <c r="Y192" t="str">
        <f t="shared" si="21"/>
        <v>A7C771</v>
      </c>
      <c r="Z192">
        <v>0</v>
      </c>
      <c r="AA192">
        <v>0</v>
      </c>
      <c r="AB192">
        <v>2</v>
      </c>
      <c r="AC192">
        <v>0</v>
      </c>
      <c r="AE192">
        <v>0</v>
      </c>
      <c r="AF192">
        <v>8</v>
      </c>
      <c r="AG192">
        <v>3</v>
      </c>
      <c r="AH192">
        <v>0</v>
      </c>
      <c r="AI192">
        <v>9</v>
      </c>
      <c r="AJ192" t="s">
        <v>125</v>
      </c>
      <c r="AK192">
        <v>0</v>
      </c>
      <c r="AL192">
        <v>3</v>
      </c>
      <c r="AM192">
        <v>2</v>
      </c>
      <c r="AN192">
        <v>1</v>
      </c>
      <c r="AO192" t="s">
        <v>519</v>
      </c>
      <c r="AP192">
        <v>42.873781000000001</v>
      </c>
      <c r="AQ192" t="s">
        <v>520</v>
      </c>
      <c r="AR192">
        <v>-77.610426000000004</v>
      </c>
      <c r="AS192">
        <v>25</v>
      </c>
      <c r="AT192">
        <v>2700</v>
      </c>
      <c r="AU192" t="s">
        <v>123</v>
      </c>
      <c r="AV192">
        <v>117</v>
      </c>
      <c r="AW192">
        <v>176</v>
      </c>
      <c r="AX192">
        <v>-1728</v>
      </c>
      <c r="AZ192">
        <f t="shared" si="26"/>
        <v>13689</v>
      </c>
      <c r="BA192">
        <f t="shared" si="27"/>
        <v>30976</v>
      </c>
      <c r="BB192" s="1">
        <f t="shared" si="28"/>
        <v>211.3409567499873</v>
      </c>
      <c r="BJ192">
        <v>1404</v>
      </c>
      <c r="BK192">
        <v>1</v>
      </c>
      <c r="BL192" t="str">
        <f t="shared" si="22"/>
        <v xml:space="preserve">N600C   </v>
      </c>
      <c r="BM192">
        <v>2</v>
      </c>
      <c r="BO192">
        <v>0</v>
      </c>
      <c r="BP192">
        <v>0</v>
      </c>
      <c r="BQ192">
        <v>0</v>
      </c>
      <c r="BR192">
        <v>2875</v>
      </c>
      <c r="BS192">
        <v>175</v>
      </c>
      <c r="BT192" t="s">
        <v>128</v>
      </c>
      <c r="BU192">
        <v>0</v>
      </c>
      <c r="BV192">
        <v>0</v>
      </c>
      <c r="BW192">
        <v>0</v>
      </c>
      <c r="BX192">
        <v>1</v>
      </c>
      <c r="CA192">
        <v>0</v>
      </c>
      <c r="CB192">
        <v>0</v>
      </c>
      <c r="CC192">
        <v>0</v>
      </c>
      <c r="CM192" t="str">
        <f>"17:43:39.441"</f>
        <v>17:43:39.441</v>
      </c>
      <c r="CN192">
        <v>440763814</v>
      </c>
      <c r="CQ192">
        <v>0</v>
      </c>
      <c r="CR192">
        <v>2496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2</v>
      </c>
      <c r="DC192">
        <v>0</v>
      </c>
      <c r="DD192">
        <v>2</v>
      </c>
      <c r="DE192">
        <v>0</v>
      </c>
      <c r="DF192">
        <v>7</v>
      </c>
      <c r="DG192">
        <v>7</v>
      </c>
      <c r="DH192" t="s">
        <v>124</v>
      </c>
      <c r="DI192">
        <v>71</v>
      </c>
      <c r="DJ192">
        <v>1</v>
      </c>
      <c r="DK192" t="s">
        <v>134</v>
      </c>
      <c r="DL192" t="s">
        <v>135</v>
      </c>
      <c r="DO192">
        <v>11390509</v>
      </c>
      <c r="DQ192">
        <v>0</v>
      </c>
      <c r="DR192">
        <v>0</v>
      </c>
      <c r="DS192">
        <v>1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</row>
    <row r="193" spans="1:131" x14ac:dyDescent="0.35">
      <c r="A193" s="2" t="str">
        <f>"17:43:40.911"</f>
        <v>17:43:40.911</v>
      </c>
      <c r="B193" s="4">
        <f t="shared" si="29"/>
        <v>63820.911</v>
      </c>
      <c r="C193" s="4">
        <f t="shared" si="23"/>
        <v>220.91100000000006</v>
      </c>
      <c r="D193" s="3">
        <f t="shared" si="24"/>
        <v>0.73866795138888885</v>
      </c>
      <c r="E193" s="2">
        <f t="shared" si="25"/>
        <v>0.73866795138888885</v>
      </c>
      <c r="G193" t="str">
        <f t="shared" si="20"/>
        <v>FFDFD7C0</v>
      </c>
      <c r="H193" t="s">
        <v>126</v>
      </c>
      <c r="I193">
        <v>8</v>
      </c>
      <c r="J193">
        <v>1008</v>
      </c>
      <c r="K193" t="s">
        <v>129</v>
      </c>
      <c r="N193" t="s">
        <v>127</v>
      </c>
      <c r="O193">
        <v>0</v>
      </c>
      <c r="P193">
        <v>3</v>
      </c>
      <c r="Q193">
        <v>0</v>
      </c>
      <c r="R193">
        <v>2</v>
      </c>
      <c r="S193">
        <v>1</v>
      </c>
      <c r="T193">
        <v>0</v>
      </c>
      <c r="U193">
        <v>0</v>
      </c>
      <c r="W193" t="str">
        <f>"17:43:40.555"</f>
        <v>17:43:40.555</v>
      </c>
      <c r="X193" t="str">
        <f>"17:43:40.255"</f>
        <v>17:43:40.255</v>
      </c>
      <c r="Y193" t="str">
        <f t="shared" si="21"/>
        <v>A7C771</v>
      </c>
      <c r="Z193">
        <v>0</v>
      </c>
      <c r="AA193">
        <v>0</v>
      </c>
      <c r="AB193">
        <v>2</v>
      </c>
      <c r="AC193">
        <v>0</v>
      </c>
      <c r="AE193">
        <v>0</v>
      </c>
      <c r="AF193">
        <v>8</v>
      </c>
      <c r="AG193">
        <v>3</v>
      </c>
      <c r="AH193">
        <v>0</v>
      </c>
      <c r="AI193">
        <v>9</v>
      </c>
      <c r="AJ193" t="s">
        <v>125</v>
      </c>
      <c r="AK193">
        <v>0</v>
      </c>
      <c r="AL193">
        <v>3</v>
      </c>
      <c r="AM193">
        <v>2</v>
      </c>
      <c r="AN193">
        <v>1</v>
      </c>
      <c r="AO193" t="s">
        <v>521</v>
      </c>
      <c r="AP193">
        <v>42.874702999999997</v>
      </c>
      <c r="AQ193" t="s">
        <v>522</v>
      </c>
      <c r="AR193">
        <v>-77.609589</v>
      </c>
      <c r="AS193">
        <v>25</v>
      </c>
      <c r="AT193">
        <v>2675</v>
      </c>
      <c r="AU193" t="s">
        <v>123</v>
      </c>
      <c r="AV193">
        <v>118</v>
      </c>
      <c r="AW193">
        <v>177</v>
      </c>
      <c r="AX193">
        <v>-1536</v>
      </c>
      <c r="AZ193">
        <f t="shared" si="26"/>
        <v>13924</v>
      </c>
      <c r="BA193">
        <f t="shared" si="27"/>
        <v>31329</v>
      </c>
      <c r="BB193" s="1">
        <f t="shared" si="28"/>
        <v>212.72752525237536</v>
      </c>
      <c r="BJ193">
        <v>1404</v>
      </c>
      <c r="BK193">
        <v>1</v>
      </c>
      <c r="BL193" t="str">
        <f t="shared" si="22"/>
        <v xml:space="preserve">N600C   </v>
      </c>
      <c r="BM193">
        <v>2</v>
      </c>
      <c r="BO193">
        <v>0</v>
      </c>
      <c r="BP193">
        <v>0</v>
      </c>
      <c r="BQ193">
        <v>0</v>
      </c>
      <c r="BR193">
        <v>2850</v>
      </c>
      <c r="BS193">
        <v>175</v>
      </c>
      <c r="BT193" t="s">
        <v>128</v>
      </c>
      <c r="BU193">
        <v>0</v>
      </c>
      <c r="BV193">
        <v>0</v>
      </c>
      <c r="BW193">
        <v>0</v>
      </c>
      <c r="BX193">
        <v>1</v>
      </c>
      <c r="CA193">
        <v>0</v>
      </c>
      <c r="CB193">
        <v>0</v>
      </c>
      <c r="CC193">
        <v>0</v>
      </c>
      <c r="CM193" t="str">
        <f>"17:43:40.561"</f>
        <v>17:43:40.561</v>
      </c>
      <c r="CN193">
        <v>561008104</v>
      </c>
      <c r="CQ193">
        <v>0</v>
      </c>
      <c r="CR193">
        <v>2496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3</v>
      </c>
      <c r="DB193">
        <v>2</v>
      </c>
      <c r="DC193">
        <v>0</v>
      </c>
      <c r="DD193">
        <v>2</v>
      </c>
      <c r="DE193">
        <v>0</v>
      </c>
      <c r="DF193">
        <v>7</v>
      </c>
      <c r="DG193">
        <v>7</v>
      </c>
      <c r="DH193" t="s">
        <v>124</v>
      </c>
      <c r="DI193">
        <v>407</v>
      </c>
      <c r="DJ193">
        <v>3</v>
      </c>
      <c r="DK193" t="s">
        <v>132</v>
      </c>
      <c r="DL193" t="s">
        <v>133</v>
      </c>
      <c r="DO193">
        <v>1433907</v>
      </c>
      <c r="DQ193">
        <v>0</v>
      </c>
      <c r="DR193">
        <v>0</v>
      </c>
      <c r="DS193">
        <v>1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</row>
    <row r="194" spans="1:131" x14ac:dyDescent="0.35">
      <c r="A194" s="2" t="str">
        <f>"17:43:41.989"</f>
        <v>17:43:41.989</v>
      </c>
      <c r="B194" s="4">
        <f t="shared" si="29"/>
        <v>63821.989000000001</v>
      </c>
      <c r="C194" s="4">
        <f t="shared" si="23"/>
        <v>221.9890000000014</v>
      </c>
      <c r="D194" s="3">
        <f t="shared" si="24"/>
        <v>0.73868042824074076</v>
      </c>
      <c r="E194" s="2">
        <f t="shared" si="25"/>
        <v>0.73868042824074076</v>
      </c>
      <c r="G194" t="str">
        <f t="shared" si="20"/>
        <v>FFDFD7C0</v>
      </c>
      <c r="H194" t="s">
        <v>126</v>
      </c>
      <c r="I194">
        <v>8</v>
      </c>
      <c r="J194">
        <v>1008</v>
      </c>
      <c r="K194" t="s">
        <v>129</v>
      </c>
      <c r="N194" t="s">
        <v>127</v>
      </c>
      <c r="O194">
        <v>0</v>
      </c>
      <c r="P194">
        <v>3</v>
      </c>
      <c r="Q194">
        <v>0</v>
      </c>
      <c r="R194">
        <v>2</v>
      </c>
      <c r="S194">
        <v>1</v>
      </c>
      <c r="T194">
        <v>0</v>
      </c>
      <c r="U194">
        <v>0</v>
      </c>
      <c r="W194" t="str">
        <f>"17:43:41.672"</f>
        <v>17:43:41.672</v>
      </c>
      <c r="X194" t="str">
        <f>"17:43:41.272"</f>
        <v>17:43:41.272</v>
      </c>
      <c r="Y194" t="str">
        <f t="shared" si="21"/>
        <v>A7C771</v>
      </c>
      <c r="Z194">
        <v>0</v>
      </c>
      <c r="AA194">
        <v>0</v>
      </c>
      <c r="AB194">
        <v>2</v>
      </c>
      <c r="AC194">
        <v>0</v>
      </c>
      <c r="AE194">
        <v>0</v>
      </c>
      <c r="AF194">
        <v>8</v>
      </c>
      <c r="AG194">
        <v>3</v>
      </c>
      <c r="AH194">
        <v>0</v>
      </c>
      <c r="AI194">
        <v>9</v>
      </c>
      <c r="AJ194" t="s">
        <v>125</v>
      </c>
      <c r="AK194">
        <v>0</v>
      </c>
      <c r="AL194">
        <v>3</v>
      </c>
      <c r="AM194">
        <v>2</v>
      </c>
      <c r="AN194">
        <v>1</v>
      </c>
      <c r="AO194" t="s">
        <v>523</v>
      </c>
      <c r="AP194">
        <v>42.875647999999998</v>
      </c>
      <c r="AQ194" t="s">
        <v>524</v>
      </c>
      <c r="AR194">
        <v>-77.608709000000005</v>
      </c>
      <c r="AS194">
        <v>25</v>
      </c>
      <c r="AT194">
        <v>2650</v>
      </c>
      <c r="AU194" t="s">
        <v>123</v>
      </c>
      <c r="AV194">
        <v>118</v>
      </c>
      <c r="AW194">
        <v>177</v>
      </c>
      <c r="AX194">
        <v>-1344</v>
      </c>
      <c r="AZ194">
        <f t="shared" si="26"/>
        <v>13924</v>
      </c>
      <c r="BA194">
        <f t="shared" si="27"/>
        <v>31329</v>
      </c>
      <c r="BB194" s="1">
        <f t="shared" si="28"/>
        <v>212.72752525237536</v>
      </c>
      <c r="BJ194">
        <v>1404</v>
      </c>
      <c r="BK194">
        <v>1</v>
      </c>
      <c r="BL194" t="str">
        <f t="shared" si="22"/>
        <v xml:space="preserve">N600C   </v>
      </c>
      <c r="BM194">
        <v>2</v>
      </c>
      <c r="BO194">
        <v>0</v>
      </c>
      <c r="BP194">
        <v>0</v>
      </c>
      <c r="BQ194">
        <v>0</v>
      </c>
      <c r="BR194">
        <v>2825</v>
      </c>
      <c r="BS194">
        <v>175</v>
      </c>
      <c r="BT194" t="s">
        <v>128</v>
      </c>
      <c r="BU194">
        <v>0</v>
      </c>
      <c r="BV194">
        <v>0</v>
      </c>
      <c r="BW194">
        <v>0</v>
      </c>
      <c r="BX194">
        <v>1</v>
      </c>
      <c r="CA194">
        <v>0</v>
      </c>
      <c r="CB194">
        <v>0</v>
      </c>
      <c r="CC194">
        <v>0</v>
      </c>
      <c r="CM194" t="str">
        <f>"17:43:41.673"</f>
        <v>17:43:41.673</v>
      </c>
      <c r="CN194">
        <v>673182524</v>
      </c>
      <c r="CQ194">
        <v>0</v>
      </c>
      <c r="CR194">
        <v>2496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3</v>
      </c>
      <c r="DB194">
        <v>2</v>
      </c>
      <c r="DC194">
        <v>0</v>
      </c>
      <c r="DD194">
        <v>2</v>
      </c>
      <c r="DE194">
        <v>0</v>
      </c>
      <c r="DF194">
        <v>7</v>
      </c>
      <c r="DG194">
        <v>7</v>
      </c>
      <c r="DH194" t="s">
        <v>124</v>
      </c>
      <c r="DI194">
        <v>71</v>
      </c>
      <c r="DJ194">
        <v>1</v>
      </c>
      <c r="DK194" t="s">
        <v>134</v>
      </c>
      <c r="DL194" t="s">
        <v>135</v>
      </c>
      <c r="DO194">
        <v>11392613</v>
      </c>
      <c r="DQ194">
        <v>0</v>
      </c>
      <c r="DR194">
        <v>0</v>
      </c>
      <c r="DS194">
        <v>1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</row>
    <row r="195" spans="1:131" x14ac:dyDescent="0.35">
      <c r="A195" s="2" t="str">
        <f>"17:43:43.099"</f>
        <v>17:43:43.099</v>
      </c>
      <c r="B195" s="4">
        <f t="shared" si="29"/>
        <v>63823.099000000009</v>
      </c>
      <c r="C195" s="4">
        <f t="shared" si="23"/>
        <v>223.09900000000926</v>
      </c>
      <c r="D195" s="3">
        <f t="shared" si="24"/>
        <v>0.73869327546296304</v>
      </c>
      <c r="E195" s="2">
        <f t="shared" si="25"/>
        <v>0.73869327546296304</v>
      </c>
      <c r="G195" t="str">
        <f t="shared" ref="G195:G258" si="30">"FFDFD7C0"</f>
        <v>FFDFD7C0</v>
      </c>
      <c r="H195" t="s">
        <v>126</v>
      </c>
      <c r="I195">
        <v>8</v>
      </c>
      <c r="J195">
        <v>1008</v>
      </c>
      <c r="K195" t="s">
        <v>129</v>
      </c>
      <c r="N195" t="s">
        <v>127</v>
      </c>
      <c r="O195">
        <v>0</v>
      </c>
      <c r="P195">
        <v>3</v>
      </c>
      <c r="Q195">
        <v>0</v>
      </c>
      <c r="R195">
        <v>2</v>
      </c>
      <c r="S195">
        <v>1</v>
      </c>
      <c r="T195">
        <v>0</v>
      </c>
      <c r="U195">
        <v>0</v>
      </c>
      <c r="W195" t="str">
        <f>"17:43:42.773"</f>
        <v>17:43:42.773</v>
      </c>
      <c r="X195" t="str">
        <f>"17:43:42.773"</f>
        <v>17:43:42.773</v>
      </c>
      <c r="Y195" t="str">
        <f t="shared" ref="Y195:Y258" si="31">"A7C771"</f>
        <v>A7C771</v>
      </c>
      <c r="Z195">
        <v>0</v>
      </c>
      <c r="AA195">
        <v>0</v>
      </c>
      <c r="AB195">
        <v>2</v>
      </c>
      <c r="AC195">
        <v>0</v>
      </c>
      <c r="AE195">
        <v>0</v>
      </c>
      <c r="AF195">
        <v>8</v>
      </c>
      <c r="AG195">
        <v>3</v>
      </c>
      <c r="AH195">
        <v>0</v>
      </c>
      <c r="AI195">
        <v>9</v>
      </c>
      <c r="AJ195" t="s">
        <v>125</v>
      </c>
      <c r="AK195">
        <v>0</v>
      </c>
      <c r="AL195">
        <v>3</v>
      </c>
      <c r="AM195">
        <v>2</v>
      </c>
      <c r="AN195">
        <v>1</v>
      </c>
      <c r="AO195" t="s">
        <v>525</v>
      </c>
      <c r="AP195">
        <v>42.876570000000001</v>
      </c>
      <c r="AQ195" t="s">
        <v>526</v>
      </c>
      <c r="AR195">
        <v>-77.607872</v>
      </c>
      <c r="AS195">
        <v>25</v>
      </c>
      <c r="AT195">
        <v>2625</v>
      </c>
      <c r="AU195" t="s">
        <v>123</v>
      </c>
      <c r="AV195">
        <v>120</v>
      </c>
      <c r="AW195">
        <v>176</v>
      </c>
      <c r="AX195">
        <v>-896</v>
      </c>
      <c r="AZ195">
        <f t="shared" si="26"/>
        <v>14400</v>
      </c>
      <c r="BA195">
        <f t="shared" si="27"/>
        <v>30976</v>
      </c>
      <c r="BB195" s="1">
        <f t="shared" si="28"/>
        <v>213.01643129110957</v>
      </c>
      <c r="BJ195">
        <v>1404</v>
      </c>
      <c r="BK195">
        <v>1</v>
      </c>
      <c r="BL195" t="str">
        <f t="shared" ref="BL195:BL258" si="32">"N600C   "</f>
        <v xml:space="preserve">N600C   </v>
      </c>
      <c r="BM195">
        <v>2</v>
      </c>
      <c r="BO195">
        <v>0</v>
      </c>
      <c r="BP195">
        <v>0</v>
      </c>
      <c r="BQ195">
        <v>0</v>
      </c>
      <c r="BR195">
        <v>2775</v>
      </c>
      <c r="BS195">
        <v>150</v>
      </c>
      <c r="BT195" t="s">
        <v>128</v>
      </c>
      <c r="BU195">
        <v>0</v>
      </c>
      <c r="BV195">
        <v>0</v>
      </c>
      <c r="BW195">
        <v>0</v>
      </c>
      <c r="BX195">
        <v>1</v>
      </c>
      <c r="CA195">
        <v>0</v>
      </c>
      <c r="CB195">
        <v>0</v>
      </c>
      <c r="CC195">
        <v>0</v>
      </c>
      <c r="CM195" t="str">
        <f>"17:43:42.777"</f>
        <v>17:43:42.777</v>
      </c>
      <c r="CN195">
        <v>777378449</v>
      </c>
      <c r="CQ195">
        <v>0</v>
      </c>
      <c r="CR195">
        <v>2496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3</v>
      </c>
      <c r="DB195">
        <v>2</v>
      </c>
      <c r="DC195">
        <v>0</v>
      </c>
      <c r="DD195">
        <v>2</v>
      </c>
      <c r="DE195">
        <v>0</v>
      </c>
      <c r="DF195">
        <v>7</v>
      </c>
      <c r="DG195">
        <v>7</v>
      </c>
      <c r="DH195" t="s">
        <v>124</v>
      </c>
      <c r="DI195">
        <v>71</v>
      </c>
      <c r="DJ195">
        <v>1</v>
      </c>
      <c r="DK195" t="s">
        <v>134</v>
      </c>
      <c r="DL195" t="s">
        <v>135</v>
      </c>
      <c r="DO195">
        <v>11393514</v>
      </c>
      <c r="DQ195">
        <v>0</v>
      </c>
      <c r="DR195">
        <v>0</v>
      </c>
      <c r="DS195">
        <v>1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</row>
    <row r="196" spans="1:131" x14ac:dyDescent="0.35">
      <c r="A196" s="2" t="str">
        <f>"17:43:44.209"</f>
        <v>17:43:44.209</v>
      </c>
      <c r="B196" s="4">
        <f t="shared" si="29"/>
        <v>63824.209000000003</v>
      </c>
      <c r="C196" s="4">
        <f t="shared" ref="C196:C259" si="33">B196-63600</f>
        <v>224.20900000000256</v>
      </c>
      <c r="D196" s="3">
        <f t="shared" ref="D196:D259" si="34">E196</f>
        <v>0.73870612268518521</v>
      </c>
      <c r="E196" s="2">
        <f t="shared" ref="E196:E259" si="35">TIMEVALUE(A196)</f>
        <v>0.73870612268518521</v>
      </c>
      <c r="G196" t="str">
        <f t="shared" si="30"/>
        <v>FFDFD7C0</v>
      </c>
      <c r="H196" t="s">
        <v>126</v>
      </c>
      <c r="I196">
        <v>8</v>
      </c>
      <c r="J196">
        <v>1008</v>
      </c>
      <c r="K196" t="s">
        <v>129</v>
      </c>
      <c r="N196" t="s">
        <v>127</v>
      </c>
      <c r="O196">
        <v>0</v>
      </c>
      <c r="P196">
        <v>3</v>
      </c>
      <c r="Q196">
        <v>0</v>
      </c>
      <c r="R196">
        <v>2</v>
      </c>
      <c r="S196">
        <v>1</v>
      </c>
      <c r="T196">
        <v>0</v>
      </c>
      <c r="U196">
        <v>0</v>
      </c>
      <c r="W196" t="str">
        <f>"17:43:43.875"</f>
        <v>17:43:43.875</v>
      </c>
      <c r="X196" t="str">
        <f>"17:43:43.675"</f>
        <v>17:43:43.675</v>
      </c>
      <c r="Y196" t="str">
        <f t="shared" si="31"/>
        <v>A7C771</v>
      </c>
      <c r="Z196">
        <v>0</v>
      </c>
      <c r="AA196">
        <v>0</v>
      </c>
      <c r="AB196">
        <v>2</v>
      </c>
      <c r="AC196">
        <v>0</v>
      </c>
      <c r="AE196">
        <v>0</v>
      </c>
      <c r="AF196">
        <v>8</v>
      </c>
      <c r="AG196">
        <v>3</v>
      </c>
      <c r="AH196">
        <v>0</v>
      </c>
      <c r="AI196">
        <v>9</v>
      </c>
      <c r="AJ196" t="s">
        <v>125</v>
      </c>
      <c r="AK196">
        <v>0</v>
      </c>
      <c r="AL196">
        <v>3</v>
      </c>
      <c r="AM196">
        <v>2</v>
      </c>
      <c r="AN196">
        <v>1</v>
      </c>
      <c r="AO196" t="s">
        <v>527</v>
      </c>
      <c r="AP196">
        <v>42.877493000000001</v>
      </c>
      <c r="AQ196" t="s">
        <v>528</v>
      </c>
      <c r="AR196">
        <v>-77.607035999999994</v>
      </c>
      <c r="AS196">
        <v>25</v>
      </c>
      <c r="AT196">
        <v>2625</v>
      </c>
      <c r="AU196" t="s">
        <v>123</v>
      </c>
      <c r="AV196">
        <v>120</v>
      </c>
      <c r="AW196">
        <v>176</v>
      </c>
      <c r="AX196">
        <v>-640</v>
      </c>
      <c r="AZ196">
        <f t="shared" ref="AZ196:AZ259" si="36">(AV196)^2</f>
        <v>14400</v>
      </c>
      <c r="BA196">
        <f t="shared" ref="BA196:BA259" si="37">(AW196)^2</f>
        <v>30976</v>
      </c>
      <c r="BB196" s="1">
        <f t="shared" ref="BB196:BB259" si="38">SQRT(AZ196+BA196)</f>
        <v>213.01643129110957</v>
      </c>
      <c r="BJ196">
        <v>1404</v>
      </c>
      <c r="BK196">
        <v>1</v>
      </c>
      <c r="BL196" t="str">
        <f t="shared" si="32"/>
        <v xml:space="preserve">N600C   </v>
      </c>
      <c r="BM196">
        <v>2</v>
      </c>
      <c r="BO196">
        <v>0</v>
      </c>
      <c r="BP196">
        <v>0</v>
      </c>
      <c r="BQ196">
        <v>0</v>
      </c>
      <c r="BR196">
        <v>2775</v>
      </c>
      <c r="BS196">
        <v>150</v>
      </c>
      <c r="BT196" t="s">
        <v>128</v>
      </c>
      <c r="BU196">
        <v>0</v>
      </c>
      <c r="BV196">
        <v>0</v>
      </c>
      <c r="BW196">
        <v>0</v>
      </c>
      <c r="BX196">
        <v>1</v>
      </c>
      <c r="CA196">
        <v>0</v>
      </c>
      <c r="CB196">
        <v>0</v>
      </c>
      <c r="CC196">
        <v>0</v>
      </c>
      <c r="CM196" t="str">
        <f>"17:43:43.882"</f>
        <v>17:43:43.882</v>
      </c>
      <c r="CN196">
        <v>881604134</v>
      </c>
      <c r="CQ196">
        <v>0</v>
      </c>
      <c r="CR196">
        <v>2496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3</v>
      </c>
      <c r="DB196">
        <v>2</v>
      </c>
      <c r="DC196">
        <v>0</v>
      </c>
      <c r="DD196">
        <v>2</v>
      </c>
      <c r="DE196">
        <v>0</v>
      </c>
      <c r="DF196">
        <v>7</v>
      </c>
      <c r="DG196">
        <v>7</v>
      </c>
      <c r="DH196" t="s">
        <v>124</v>
      </c>
      <c r="DI196">
        <v>407</v>
      </c>
      <c r="DJ196">
        <v>3</v>
      </c>
      <c r="DK196" t="s">
        <v>132</v>
      </c>
      <c r="DL196" t="s">
        <v>133</v>
      </c>
      <c r="DO196">
        <v>1437199</v>
      </c>
      <c r="DQ196">
        <v>0</v>
      </c>
      <c r="DR196">
        <v>0</v>
      </c>
      <c r="DS196">
        <v>1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</row>
    <row r="197" spans="1:131" x14ac:dyDescent="0.35">
      <c r="A197" s="2" t="str">
        <f>"17:43:45.178"</f>
        <v>17:43:45.178</v>
      </c>
      <c r="B197" s="4">
        <f t="shared" si="29"/>
        <v>63825.178000000007</v>
      </c>
      <c r="C197" s="4">
        <f t="shared" si="33"/>
        <v>225.17800000000716</v>
      </c>
      <c r="D197" s="3">
        <f t="shared" si="34"/>
        <v>0.73871733796296302</v>
      </c>
      <c r="E197" s="2">
        <f t="shared" si="35"/>
        <v>0.73871733796296302</v>
      </c>
      <c r="G197" t="str">
        <f t="shared" si="30"/>
        <v>FFDFD7C0</v>
      </c>
      <c r="H197" t="s">
        <v>126</v>
      </c>
      <c r="I197">
        <v>8</v>
      </c>
      <c r="J197">
        <v>1008</v>
      </c>
      <c r="K197" t="s">
        <v>129</v>
      </c>
      <c r="N197" t="s">
        <v>127</v>
      </c>
      <c r="O197">
        <v>0</v>
      </c>
      <c r="P197">
        <v>3</v>
      </c>
      <c r="Q197">
        <v>0</v>
      </c>
      <c r="R197">
        <v>2</v>
      </c>
      <c r="S197">
        <v>1</v>
      </c>
      <c r="T197">
        <v>0</v>
      </c>
      <c r="U197">
        <v>0</v>
      </c>
      <c r="W197" t="str">
        <f>"17:43:44.914"</f>
        <v>17:43:44.914</v>
      </c>
      <c r="X197" t="str">
        <f>"17:43:44.714"</f>
        <v>17:43:44.714</v>
      </c>
      <c r="Y197" t="str">
        <f t="shared" si="31"/>
        <v>A7C771</v>
      </c>
      <c r="Z197">
        <v>0</v>
      </c>
      <c r="AA197">
        <v>0</v>
      </c>
      <c r="AB197">
        <v>2</v>
      </c>
      <c r="AC197">
        <v>0</v>
      </c>
      <c r="AE197">
        <v>0</v>
      </c>
      <c r="AF197">
        <v>8</v>
      </c>
      <c r="AG197">
        <v>3</v>
      </c>
      <c r="AH197">
        <v>0</v>
      </c>
      <c r="AI197">
        <v>9</v>
      </c>
      <c r="AJ197" t="s">
        <v>125</v>
      </c>
      <c r="AK197">
        <v>0</v>
      </c>
      <c r="AL197">
        <v>3</v>
      </c>
      <c r="AM197">
        <v>2</v>
      </c>
      <c r="AN197">
        <v>1</v>
      </c>
      <c r="AO197" t="s">
        <v>529</v>
      </c>
      <c r="AP197">
        <v>42.878264999999999</v>
      </c>
      <c r="AQ197" t="s">
        <v>530</v>
      </c>
      <c r="AR197">
        <v>-77.606262999999998</v>
      </c>
      <c r="AS197">
        <v>25</v>
      </c>
      <c r="AT197">
        <v>2600</v>
      </c>
      <c r="AU197" t="s">
        <v>123</v>
      </c>
      <c r="AV197">
        <v>119</v>
      </c>
      <c r="AW197">
        <v>176</v>
      </c>
      <c r="AX197">
        <v>-512</v>
      </c>
      <c r="AZ197">
        <f t="shared" si="36"/>
        <v>14161</v>
      </c>
      <c r="BA197">
        <f t="shared" si="37"/>
        <v>30976</v>
      </c>
      <c r="BB197" s="1">
        <f t="shared" si="38"/>
        <v>212.4547010541306</v>
      </c>
      <c r="BJ197">
        <v>1404</v>
      </c>
      <c r="BK197">
        <v>1</v>
      </c>
      <c r="BL197" t="str">
        <f t="shared" si="32"/>
        <v xml:space="preserve">N600C   </v>
      </c>
      <c r="BM197">
        <v>2</v>
      </c>
      <c r="BO197">
        <v>0</v>
      </c>
      <c r="BP197">
        <v>0</v>
      </c>
      <c r="BQ197">
        <v>0</v>
      </c>
      <c r="BR197">
        <v>2750</v>
      </c>
      <c r="BS197">
        <v>150</v>
      </c>
      <c r="BT197" t="s">
        <v>128</v>
      </c>
      <c r="BU197">
        <v>0</v>
      </c>
      <c r="BV197">
        <v>0</v>
      </c>
      <c r="BW197">
        <v>0</v>
      </c>
      <c r="BX197">
        <v>1</v>
      </c>
      <c r="CA197">
        <v>0</v>
      </c>
      <c r="CB197">
        <v>0</v>
      </c>
      <c r="CC197">
        <v>0</v>
      </c>
      <c r="CM197" t="str">
        <f>"17:43:44.922"</f>
        <v>17:43:44.922</v>
      </c>
      <c r="CN197">
        <v>921791257</v>
      </c>
      <c r="CQ197">
        <v>0</v>
      </c>
      <c r="CR197">
        <v>2496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3</v>
      </c>
      <c r="DB197">
        <v>2</v>
      </c>
      <c r="DC197">
        <v>0</v>
      </c>
      <c r="DD197">
        <v>2</v>
      </c>
      <c r="DE197">
        <v>0</v>
      </c>
      <c r="DF197">
        <v>7</v>
      </c>
      <c r="DG197">
        <v>7</v>
      </c>
      <c r="DH197" t="s">
        <v>124</v>
      </c>
      <c r="DI197">
        <v>407</v>
      </c>
      <c r="DJ197">
        <v>3</v>
      </c>
      <c r="DK197" t="s">
        <v>132</v>
      </c>
      <c r="DL197" t="s">
        <v>133</v>
      </c>
      <c r="DO197">
        <v>1438307</v>
      </c>
      <c r="DQ197">
        <v>0</v>
      </c>
      <c r="DR197">
        <v>0</v>
      </c>
      <c r="DS197">
        <v>1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</row>
    <row r="198" spans="1:131" x14ac:dyDescent="0.35">
      <c r="A198" s="2" t="str">
        <f>"17:43:46.334"</f>
        <v>17:43:46.334</v>
      </c>
      <c r="B198" s="4">
        <f t="shared" si="29"/>
        <v>63826.333999999995</v>
      </c>
      <c r="C198" s="4">
        <f t="shared" si="33"/>
        <v>226.33399999999529</v>
      </c>
      <c r="D198" s="3">
        <f t="shared" si="34"/>
        <v>0.73873071759259257</v>
      </c>
      <c r="E198" s="2">
        <f t="shared" si="35"/>
        <v>0.73873071759259257</v>
      </c>
      <c r="G198" t="str">
        <f t="shared" si="30"/>
        <v>FFDFD7C0</v>
      </c>
      <c r="H198" t="s">
        <v>126</v>
      </c>
      <c r="I198">
        <v>8</v>
      </c>
      <c r="J198">
        <v>1008</v>
      </c>
      <c r="K198" t="s">
        <v>129</v>
      </c>
      <c r="N198" t="s">
        <v>127</v>
      </c>
      <c r="O198">
        <v>0</v>
      </c>
      <c r="P198">
        <v>3</v>
      </c>
      <c r="Q198">
        <v>0</v>
      </c>
      <c r="R198">
        <v>2</v>
      </c>
      <c r="S198">
        <v>1</v>
      </c>
      <c r="T198">
        <v>0</v>
      </c>
      <c r="U198">
        <v>0</v>
      </c>
      <c r="W198" t="str">
        <f>"17:43:45.938"</f>
        <v>17:43:45.938</v>
      </c>
      <c r="X198" t="str">
        <f>"17:43:45.738"</f>
        <v>17:43:45.738</v>
      </c>
      <c r="Y198" t="str">
        <f t="shared" si="31"/>
        <v>A7C771</v>
      </c>
      <c r="Z198">
        <v>0</v>
      </c>
      <c r="AA198">
        <v>0</v>
      </c>
      <c r="AB198">
        <v>2</v>
      </c>
      <c r="AC198">
        <v>0</v>
      </c>
      <c r="AE198">
        <v>0</v>
      </c>
      <c r="AF198">
        <v>8</v>
      </c>
      <c r="AG198">
        <v>3</v>
      </c>
      <c r="AH198">
        <v>0</v>
      </c>
      <c r="AI198">
        <v>9</v>
      </c>
      <c r="AJ198" t="s">
        <v>125</v>
      </c>
      <c r="AK198">
        <v>0</v>
      </c>
      <c r="AL198">
        <v>3</v>
      </c>
      <c r="AM198">
        <v>2</v>
      </c>
      <c r="AN198">
        <v>1</v>
      </c>
      <c r="AO198" t="s">
        <v>531</v>
      </c>
      <c r="AP198">
        <v>42.879080999999999</v>
      </c>
      <c r="AQ198" t="s">
        <v>532</v>
      </c>
      <c r="AR198">
        <v>-77.605576999999997</v>
      </c>
      <c r="AS198">
        <v>25</v>
      </c>
      <c r="AT198">
        <v>2600</v>
      </c>
      <c r="AU198" t="s">
        <v>123</v>
      </c>
      <c r="AV198">
        <v>117</v>
      </c>
      <c r="AW198">
        <v>177</v>
      </c>
      <c r="AX198">
        <v>-320</v>
      </c>
      <c r="AZ198">
        <f t="shared" si="36"/>
        <v>13689</v>
      </c>
      <c r="BA198">
        <f t="shared" si="37"/>
        <v>31329</v>
      </c>
      <c r="BB198" s="1">
        <f t="shared" si="38"/>
        <v>212.17445652104308</v>
      </c>
      <c r="BJ198">
        <v>1404</v>
      </c>
      <c r="BK198">
        <v>1</v>
      </c>
      <c r="BL198" t="str">
        <f t="shared" si="32"/>
        <v xml:space="preserve">N600C   </v>
      </c>
      <c r="BM198">
        <v>2</v>
      </c>
      <c r="BO198">
        <v>0</v>
      </c>
      <c r="BP198">
        <v>0</v>
      </c>
      <c r="BQ198">
        <v>0</v>
      </c>
      <c r="BR198">
        <v>2750</v>
      </c>
      <c r="BS198">
        <v>150</v>
      </c>
      <c r="BT198" t="s">
        <v>128</v>
      </c>
      <c r="BU198">
        <v>0</v>
      </c>
      <c r="BV198">
        <v>0</v>
      </c>
      <c r="BW198">
        <v>0</v>
      </c>
      <c r="BX198">
        <v>1</v>
      </c>
      <c r="CA198">
        <v>0</v>
      </c>
      <c r="CB198">
        <v>0</v>
      </c>
      <c r="CC198">
        <v>0</v>
      </c>
      <c r="CM198" t="str">
        <f>"17:43:45.938"</f>
        <v>17:43:45.938</v>
      </c>
      <c r="CN198">
        <v>937955091</v>
      </c>
      <c r="CQ198">
        <v>0</v>
      </c>
      <c r="CR198">
        <v>2496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3</v>
      </c>
      <c r="DB198">
        <v>2</v>
      </c>
      <c r="DC198">
        <v>0</v>
      </c>
      <c r="DD198">
        <v>2</v>
      </c>
      <c r="DE198">
        <v>0</v>
      </c>
      <c r="DF198">
        <v>6</v>
      </c>
      <c r="DG198">
        <v>7</v>
      </c>
      <c r="DH198" t="s">
        <v>124</v>
      </c>
      <c r="DI198">
        <v>71</v>
      </c>
      <c r="DJ198">
        <v>1</v>
      </c>
      <c r="DK198" t="s">
        <v>134</v>
      </c>
      <c r="DL198" t="s">
        <v>135</v>
      </c>
      <c r="DO198">
        <v>11396375</v>
      </c>
      <c r="DQ198">
        <v>0</v>
      </c>
      <c r="DR198">
        <v>0</v>
      </c>
      <c r="DS198">
        <v>1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</row>
    <row r="199" spans="1:131" x14ac:dyDescent="0.35">
      <c r="A199" s="2" t="str">
        <f>"17:43:47.318"</f>
        <v>17:43:47.318</v>
      </c>
      <c r="B199" s="4">
        <f t="shared" ref="B199:B262" si="39">E199*86400</f>
        <v>63827.317999999992</v>
      </c>
      <c r="C199" s="4">
        <f t="shared" si="33"/>
        <v>227.31799999999203</v>
      </c>
      <c r="D199" s="3">
        <f t="shared" si="34"/>
        <v>0.73874210648148142</v>
      </c>
      <c r="E199" s="2">
        <f t="shared" si="35"/>
        <v>0.73874210648148142</v>
      </c>
      <c r="G199" t="str">
        <f t="shared" si="30"/>
        <v>FFDFD7C0</v>
      </c>
      <c r="H199" t="s">
        <v>126</v>
      </c>
      <c r="I199">
        <v>8</v>
      </c>
      <c r="J199">
        <v>1008</v>
      </c>
      <c r="K199" t="s">
        <v>129</v>
      </c>
      <c r="N199" t="s">
        <v>127</v>
      </c>
      <c r="O199">
        <v>0</v>
      </c>
      <c r="P199">
        <v>3</v>
      </c>
      <c r="Q199">
        <v>0</v>
      </c>
      <c r="R199">
        <v>2</v>
      </c>
      <c r="S199">
        <v>1</v>
      </c>
      <c r="T199">
        <v>0</v>
      </c>
      <c r="U199">
        <v>0</v>
      </c>
      <c r="W199" t="str">
        <f>"17:43:47.039"</f>
        <v>17:43:47.039</v>
      </c>
      <c r="X199" t="str">
        <f>"17:43:46.639"</f>
        <v>17:43:46.639</v>
      </c>
      <c r="Y199" t="str">
        <f t="shared" si="31"/>
        <v>A7C771</v>
      </c>
      <c r="Z199">
        <v>0</v>
      </c>
      <c r="AA199">
        <v>0</v>
      </c>
      <c r="AB199">
        <v>2</v>
      </c>
      <c r="AC199">
        <v>0</v>
      </c>
      <c r="AE199">
        <v>0</v>
      </c>
      <c r="AF199">
        <v>8</v>
      </c>
      <c r="AG199">
        <v>3</v>
      </c>
      <c r="AH199">
        <v>0</v>
      </c>
      <c r="AI199">
        <v>9</v>
      </c>
      <c r="AJ199" t="s">
        <v>125</v>
      </c>
      <c r="AK199">
        <v>0</v>
      </c>
      <c r="AL199">
        <v>3</v>
      </c>
      <c r="AM199">
        <v>2</v>
      </c>
      <c r="AN199">
        <v>1</v>
      </c>
      <c r="AO199" t="s">
        <v>533</v>
      </c>
      <c r="AP199">
        <v>42.880003000000002</v>
      </c>
      <c r="AQ199" t="s">
        <v>534</v>
      </c>
      <c r="AR199">
        <v>-77.604804000000001</v>
      </c>
      <c r="AS199">
        <v>25</v>
      </c>
      <c r="AT199">
        <v>2600</v>
      </c>
      <c r="AU199" t="s">
        <v>123</v>
      </c>
      <c r="AV199">
        <v>114</v>
      </c>
      <c r="AW199">
        <v>178</v>
      </c>
      <c r="AX199">
        <v>-256</v>
      </c>
      <c r="AZ199">
        <f t="shared" si="36"/>
        <v>12996</v>
      </c>
      <c r="BA199">
        <f t="shared" si="37"/>
        <v>31684</v>
      </c>
      <c r="BB199" s="1">
        <f t="shared" si="38"/>
        <v>211.3764414498456</v>
      </c>
      <c r="BJ199">
        <v>1404</v>
      </c>
      <c r="BK199">
        <v>1</v>
      </c>
      <c r="BL199" t="str">
        <f t="shared" si="32"/>
        <v xml:space="preserve">N600C   </v>
      </c>
      <c r="BM199">
        <v>2</v>
      </c>
      <c r="BO199">
        <v>0</v>
      </c>
      <c r="BP199">
        <v>0</v>
      </c>
      <c r="BQ199">
        <v>0</v>
      </c>
      <c r="BR199">
        <v>2750</v>
      </c>
      <c r="BS199">
        <v>150</v>
      </c>
      <c r="BT199" t="s">
        <v>128</v>
      </c>
      <c r="BU199">
        <v>0</v>
      </c>
      <c r="BV199">
        <v>0</v>
      </c>
      <c r="BW199">
        <v>0</v>
      </c>
      <c r="BX199">
        <v>1</v>
      </c>
      <c r="CA199">
        <v>0</v>
      </c>
      <c r="CB199">
        <v>0</v>
      </c>
      <c r="CC199">
        <v>0</v>
      </c>
      <c r="CM199" t="str">
        <f>"17:43:47.042"</f>
        <v>17:43:47.042</v>
      </c>
      <c r="CN199">
        <v>42177561</v>
      </c>
      <c r="CQ199">
        <v>0</v>
      </c>
      <c r="CR199">
        <v>2496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3</v>
      </c>
      <c r="DB199">
        <v>2</v>
      </c>
      <c r="DC199">
        <v>0</v>
      </c>
      <c r="DD199">
        <v>2</v>
      </c>
      <c r="DE199">
        <v>0</v>
      </c>
      <c r="DF199">
        <v>7</v>
      </c>
      <c r="DG199">
        <v>7</v>
      </c>
      <c r="DH199" t="s">
        <v>124</v>
      </c>
      <c r="DI199">
        <v>407</v>
      </c>
      <c r="DJ199">
        <v>3</v>
      </c>
      <c r="DK199" t="s">
        <v>132</v>
      </c>
      <c r="DL199" t="s">
        <v>133</v>
      </c>
      <c r="DO199">
        <v>1440504</v>
      </c>
      <c r="DQ199">
        <v>0</v>
      </c>
      <c r="DR199">
        <v>0</v>
      </c>
      <c r="DS199">
        <v>1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</row>
    <row r="200" spans="1:131" x14ac:dyDescent="0.35">
      <c r="A200" s="2" t="str">
        <f>"17:43:48.413"</f>
        <v>17:43:48.413</v>
      </c>
      <c r="B200" s="4">
        <f t="shared" si="39"/>
        <v>63828.412999999993</v>
      </c>
      <c r="C200" s="4">
        <f t="shared" si="33"/>
        <v>228.41299999999319</v>
      </c>
      <c r="D200" s="3">
        <f t="shared" si="34"/>
        <v>0.73875478009259254</v>
      </c>
      <c r="E200" s="2">
        <f t="shared" si="35"/>
        <v>0.73875478009259254</v>
      </c>
      <c r="G200" t="str">
        <f t="shared" si="30"/>
        <v>FFDFD7C0</v>
      </c>
      <c r="H200" t="s">
        <v>126</v>
      </c>
      <c r="I200">
        <v>8</v>
      </c>
      <c r="J200">
        <v>1008</v>
      </c>
      <c r="K200" t="s">
        <v>129</v>
      </c>
      <c r="N200" t="s">
        <v>127</v>
      </c>
      <c r="O200">
        <v>0</v>
      </c>
      <c r="P200">
        <v>3</v>
      </c>
      <c r="Q200">
        <v>0</v>
      </c>
      <c r="R200">
        <v>2</v>
      </c>
      <c r="S200">
        <v>1</v>
      </c>
      <c r="T200">
        <v>0</v>
      </c>
      <c r="U200">
        <v>0</v>
      </c>
      <c r="W200" t="str">
        <f>"17:43:48.148"</f>
        <v>17:43:48.148</v>
      </c>
      <c r="X200" t="str">
        <f>"17:43:47.848"</f>
        <v>17:43:47.848</v>
      </c>
      <c r="Y200" t="str">
        <f t="shared" si="31"/>
        <v>A7C771</v>
      </c>
      <c r="Z200">
        <v>0</v>
      </c>
      <c r="AA200">
        <v>0</v>
      </c>
      <c r="AB200">
        <v>2</v>
      </c>
      <c r="AC200">
        <v>0</v>
      </c>
      <c r="AE200">
        <v>0</v>
      </c>
      <c r="AF200">
        <v>8</v>
      </c>
      <c r="AG200">
        <v>3</v>
      </c>
      <c r="AH200">
        <v>0</v>
      </c>
      <c r="AI200">
        <v>9</v>
      </c>
      <c r="AJ200" t="s">
        <v>125</v>
      </c>
      <c r="AK200">
        <v>0</v>
      </c>
      <c r="AL200">
        <v>3</v>
      </c>
      <c r="AM200">
        <v>2</v>
      </c>
      <c r="AN200">
        <v>1</v>
      </c>
      <c r="AO200" t="s">
        <v>535</v>
      </c>
      <c r="AP200">
        <v>42.880926000000002</v>
      </c>
      <c r="AQ200" t="s">
        <v>536</v>
      </c>
      <c r="AR200">
        <v>-77.604032000000004</v>
      </c>
      <c r="AS200">
        <v>25</v>
      </c>
      <c r="AT200">
        <v>2600</v>
      </c>
      <c r="AU200" t="s">
        <v>123</v>
      </c>
      <c r="AV200">
        <v>111</v>
      </c>
      <c r="AW200">
        <v>179</v>
      </c>
      <c r="AX200">
        <v>-128</v>
      </c>
      <c r="AZ200">
        <f t="shared" si="36"/>
        <v>12321</v>
      </c>
      <c r="BA200">
        <f t="shared" si="37"/>
        <v>32041</v>
      </c>
      <c r="BB200" s="1">
        <f t="shared" si="38"/>
        <v>210.62288574606512</v>
      </c>
      <c r="BJ200">
        <v>1404</v>
      </c>
      <c r="BK200">
        <v>1</v>
      </c>
      <c r="BL200" t="str">
        <f t="shared" si="32"/>
        <v xml:space="preserve">N600C   </v>
      </c>
      <c r="BM200">
        <v>2</v>
      </c>
      <c r="BO200">
        <v>0</v>
      </c>
      <c r="BP200">
        <v>0</v>
      </c>
      <c r="BQ200">
        <v>0</v>
      </c>
      <c r="BR200">
        <v>2750</v>
      </c>
      <c r="BS200">
        <v>150</v>
      </c>
      <c r="BT200" t="s">
        <v>128</v>
      </c>
      <c r="BU200">
        <v>0</v>
      </c>
      <c r="BV200">
        <v>0</v>
      </c>
      <c r="BW200">
        <v>0</v>
      </c>
      <c r="BX200">
        <v>1</v>
      </c>
      <c r="CA200">
        <v>0</v>
      </c>
      <c r="CB200">
        <v>0</v>
      </c>
      <c r="CC200">
        <v>0</v>
      </c>
      <c r="CM200" t="str">
        <f>"17:43:48.154"</f>
        <v>17:43:48.154</v>
      </c>
      <c r="CN200">
        <v>154377122</v>
      </c>
      <c r="CQ200">
        <v>0</v>
      </c>
      <c r="CR200">
        <v>2496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3</v>
      </c>
      <c r="DB200">
        <v>2</v>
      </c>
      <c r="DC200">
        <v>0</v>
      </c>
      <c r="DD200">
        <v>2</v>
      </c>
      <c r="DE200">
        <v>0</v>
      </c>
      <c r="DF200">
        <v>7</v>
      </c>
      <c r="DG200">
        <v>7</v>
      </c>
      <c r="DH200" t="s">
        <v>124</v>
      </c>
      <c r="DI200">
        <v>407</v>
      </c>
      <c r="DJ200">
        <v>3</v>
      </c>
      <c r="DK200" t="s">
        <v>132</v>
      </c>
      <c r="DL200" t="s">
        <v>133</v>
      </c>
      <c r="DO200">
        <v>1441570</v>
      </c>
      <c r="DQ200">
        <v>0</v>
      </c>
      <c r="DR200">
        <v>0</v>
      </c>
      <c r="DS200">
        <v>1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</row>
    <row r="201" spans="1:131" x14ac:dyDescent="0.35">
      <c r="A201" s="2" t="str">
        <f>"17:43:49.302"</f>
        <v>17:43:49.302</v>
      </c>
      <c r="B201" s="4">
        <f t="shared" si="39"/>
        <v>63829.302000000011</v>
      </c>
      <c r="C201" s="4">
        <f t="shared" si="33"/>
        <v>229.30200000001059</v>
      </c>
      <c r="D201" s="3">
        <f t="shared" si="34"/>
        <v>0.73876506944444453</v>
      </c>
      <c r="E201" s="2">
        <f t="shared" si="35"/>
        <v>0.73876506944444453</v>
      </c>
      <c r="G201" t="str">
        <f t="shared" si="30"/>
        <v>FFDFD7C0</v>
      </c>
      <c r="H201" t="s">
        <v>126</v>
      </c>
      <c r="I201">
        <v>8</v>
      </c>
      <c r="J201">
        <v>1008</v>
      </c>
      <c r="K201" t="s">
        <v>129</v>
      </c>
      <c r="N201" t="s">
        <v>127</v>
      </c>
      <c r="O201">
        <v>0</v>
      </c>
      <c r="P201">
        <v>3</v>
      </c>
      <c r="Q201">
        <v>0</v>
      </c>
      <c r="R201">
        <v>2</v>
      </c>
      <c r="S201">
        <v>1</v>
      </c>
      <c r="T201">
        <v>0</v>
      </c>
      <c r="U201">
        <v>0</v>
      </c>
      <c r="W201" t="str">
        <f>"17:43:48.992"</f>
        <v>17:43:48.992</v>
      </c>
      <c r="X201" t="str">
        <f>"17:43:48.992"</f>
        <v>17:43:48.992</v>
      </c>
      <c r="Y201" t="str">
        <f t="shared" si="31"/>
        <v>A7C771</v>
      </c>
      <c r="Z201">
        <v>0</v>
      </c>
      <c r="AA201">
        <v>0</v>
      </c>
      <c r="AB201">
        <v>2</v>
      </c>
      <c r="AC201">
        <v>0</v>
      </c>
      <c r="AE201">
        <v>0</v>
      </c>
      <c r="AF201">
        <v>8</v>
      </c>
      <c r="AG201">
        <v>3</v>
      </c>
      <c r="AH201">
        <v>0</v>
      </c>
      <c r="AI201">
        <v>9</v>
      </c>
      <c r="AJ201" t="s">
        <v>125</v>
      </c>
      <c r="AK201">
        <v>0</v>
      </c>
      <c r="AL201">
        <v>3</v>
      </c>
      <c r="AM201">
        <v>2</v>
      </c>
      <c r="AN201">
        <v>1</v>
      </c>
      <c r="AO201" t="s">
        <v>537</v>
      </c>
      <c r="AP201">
        <v>42.881677000000003</v>
      </c>
      <c r="AQ201" t="s">
        <v>538</v>
      </c>
      <c r="AR201">
        <v>-77.603431</v>
      </c>
      <c r="AS201">
        <v>25</v>
      </c>
      <c r="AT201">
        <v>2600</v>
      </c>
      <c r="AU201" t="s">
        <v>123</v>
      </c>
      <c r="AV201">
        <v>108</v>
      </c>
      <c r="AW201">
        <v>180</v>
      </c>
      <c r="AX201">
        <v>-128</v>
      </c>
      <c r="AZ201">
        <f t="shared" si="36"/>
        <v>11664</v>
      </c>
      <c r="BA201">
        <f t="shared" si="37"/>
        <v>32400</v>
      </c>
      <c r="BB201" s="1">
        <f t="shared" si="38"/>
        <v>209.91426821443082</v>
      </c>
      <c r="BJ201">
        <v>1404</v>
      </c>
      <c r="BK201">
        <v>1</v>
      </c>
      <c r="BL201" t="str">
        <f t="shared" si="32"/>
        <v xml:space="preserve">N600C   </v>
      </c>
      <c r="BM201">
        <v>2</v>
      </c>
      <c r="BO201">
        <v>0</v>
      </c>
      <c r="BP201">
        <v>0</v>
      </c>
      <c r="BQ201">
        <v>0</v>
      </c>
      <c r="BR201">
        <v>2750</v>
      </c>
      <c r="BS201">
        <v>150</v>
      </c>
      <c r="BT201" t="s">
        <v>128</v>
      </c>
      <c r="BU201">
        <v>0</v>
      </c>
      <c r="BV201">
        <v>0</v>
      </c>
      <c r="BW201">
        <v>0</v>
      </c>
      <c r="BX201">
        <v>1</v>
      </c>
      <c r="CA201">
        <v>0</v>
      </c>
      <c r="CB201">
        <v>0</v>
      </c>
      <c r="CC201">
        <v>0</v>
      </c>
      <c r="CM201" t="str">
        <f>"17:43:48.995"</f>
        <v>17:43:48.995</v>
      </c>
      <c r="CN201">
        <v>994525824</v>
      </c>
      <c r="CQ201">
        <v>0</v>
      </c>
      <c r="CR201">
        <v>2496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3</v>
      </c>
      <c r="DB201">
        <v>2</v>
      </c>
      <c r="DC201">
        <v>0</v>
      </c>
      <c r="DD201">
        <v>2</v>
      </c>
      <c r="DE201">
        <v>0</v>
      </c>
      <c r="DF201">
        <v>7</v>
      </c>
      <c r="DG201">
        <v>7</v>
      </c>
      <c r="DH201" t="s">
        <v>124</v>
      </c>
      <c r="DI201">
        <v>407</v>
      </c>
      <c r="DJ201">
        <v>3</v>
      </c>
      <c r="DK201" t="s">
        <v>132</v>
      </c>
      <c r="DL201" t="s">
        <v>133</v>
      </c>
      <c r="DO201">
        <v>1442375</v>
      </c>
      <c r="DQ201">
        <v>0</v>
      </c>
      <c r="DR201">
        <v>0</v>
      </c>
      <c r="DS201">
        <v>1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</row>
    <row r="202" spans="1:131" x14ac:dyDescent="0.35">
      <c r="A202" s="2" t="str">
        <f>"17:43:50.146"</f>
        <v>17:43:50.146</v>
      </c>
      <c r="B202" s="4">
        <f t="shared" si="39"/>
        <v>63830.146000000001</v>
      </c>
      <c r="C202" s="4">
        <f t="shared" si="33"/>
        <v>230.14600000000064</v>
      </c>
      <c r="D202" s="3">
        <f t="shared" si="34"/>
        <v>0.73877483796296295</v>
      </c>
      <c r="E202" s="2">
        <f t="shared" si="35"/>
        <v>0.73877483796296295</v>
      </c>
      <c r="G202" t="str">
        <f t="shared" si="30"/>
        <v>FFDFD7C0</v>
      </c>
      <c r="H202" t="s">
        <v>126</v>
      </c>
      <c r="I202">
        <v>8</v>
      </c>
      <c r="J202">
        <v>1008</v>
      </c>
      <c r="K202" t="s">
        <v>129</v>
      </c>
      <c r="N202" t="s">
        <v>127</v>
      </c>
      <c r="O202">
        <v>0</v>
      </c>
      <c r="P202">
        <v>3</v>
      </c>
      <c r="Q202">
        <v>0</v>
      </c>
      <c r="R202">
        <v>2</v>
      </c>
      <c r="S202">
        <v>1</v>
      </c>
      <c r="T202">
        <v>0</v>
      </c>
      <c r="U202">
        <v>0</v>
      </c>
      <c r="W202" t="str">
        <f>"17:43:49.914"</f>
        <v>17:43:49.914</v>
      </c>
      <c r="X202" t="str">
        <f>"17:43:49.514"</f>
        <v>17:43:49.514</v>
      </c>
      <c r="Y202" t="str">
        <f t="shared" si="31"/>
        <v>A7C771</v>
      </c>
      <c r="Z202">
        <v>0</v>
      </c>
      <c r="AA202">
        <v>0</v>
      </c>
      <c r="AB202">
        <v>2</v>
      </c>
      <c r="AC202">
        <v>0</v>
      </c>
      <c r="AE202">
        <v>0</v>
      </c>
      <c r="AF202">
        <v>8</v>
      </c>
      <c r="AG202">
        <v>3</v>
      </c>
      <c r="AH202">
        <v>0</v>
      </c>
      <c r="AI202">
        <v>9</v>
      </c>
      <c r="AJ202" t="s">
        <v>125</v>
      </c>
      <c r="AK202">
        <v>0</v>
      </c>
      <c r="AL202">
        <v>3</v>
      </c>
      <c r="AM202">
        <v>2</v>
      </c>
      <c r="AN202">
        <v>1</v>
      </c>
      <c r="AO202" t="s">
        <v>539</v>
      </c>
      <c r="AP202">
        <v>42.882427999999997</v>
      </c>
      <c r="AQ202" t="s">
        <v>540</v>
      </c>
      <c r="AR202">
        <v>-77.602894000000006</v>
      </c>
      <c r="AS202">
        <v>25</v>
      </c>
      <c r="AT202">
        <v>2600</v>
      </c>
      <c r="AU202" t="s">
        <v>123</v>
      </c>
      <c r="AV202">
        <v>105</v>
      </c>
      <c r="AW202">
        <v>181</v>
      </c>
      <c r="AX202">
        <v>-192</v>
      </c>
      <c r="AZ202">
        <f t="shared" si="36"/>
        <v>11025</v>
      </c>
      <c r="BA202">
        <f t="shared" si="37"/>
        <v>32761</v>
      </c>
      <c r="BB202" s="1">
        <f t="shared" si="38"/>
        <v>209.25104539762759</v>
      </c>
      <c r="BJ202">
        <v>1404</v>
      </c>
      <c r="BK202">
        <v>1</v>
      </c>
      <c r="BL202" t="str">
        <f t="shared" si="32"/>
        <v xml:space="preserve">N600C   </v>
      </c>
      <c r="BM202">
        <v>2</v>
      </c>
      <c r="BO202">
        <v>0</v>
      </c>
      <c r="BP202">
        <v>0</v>
      </c>
      <c r="BQ202">
        <v>0</v>
      </c>
      <c r="BR202">
        <v>2750</v>
      </c>
      <c r="BS202">
        <v>150</v>
      </c>
      <c r="BT202" t="s">
        <v>128</v>
      </c>
      <c r="BU202">
        <v>0</v>
      </c>
      <c r="BV202">
        <v>0</v>
      </c>
      <c r="BW202">
        <v>0</v>
      </c>
      <c r="BX202">
        <v>1</v>
      </c>
      <c r="CA202">
        <v>0</v>
      </c>
      <c r="CB202">
        <v>0</v>
      </c>
      <c r="CC202">
        <v>0</v>
      </c>
      <c r="CM202" t="str">
        <f>"17:43:49.915"</f>
        <v>17:43:49.915</v>
      </c>
      <c r="CN202">
        <v>914705574</v>
      </c>
      <c r="CQ202">
        <v>0</v>
      </c>
      <c r="CR202">
        <v>2496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3</v>
      </c>
      <c r="DB202">
        <v>2</v>
      </c>
      <c r="DC202">
        <v>0</v>
      </c>
      <c r="DD202">
        <v>2</v>
      </c>
      <c r="DE202">
        <v>0</v>
      </c>
      <c r="DF202">
        <v>7</v>
      </c>
      <c r="DG202">
        <v>7</v>
      </c>
      <c r="DH202" t="s">
        <v>124</v>
      </c>
      <c r="DI202">
        <v>407</v>
      </c>
      <c r="DJ202">
        <v>3</v>
      </c>
      <c r="DK202" t="s">
        <v>132</v>
      </c>
      <c r="DL202" t="s">
        <v>133</v>
      </c>
      <c r="DO202">
        <v>1443385</v>
      </c>
      <c r="DQ202">
        <v>0</v>
      </c>
      <c r="DR202">
        <v>0</v>
      </c>
      <c r="DS202">
        <v>1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</row>
    <row r="203" spans="1:131" x14ac:dyDescent="0.35">
      <c r="A203" s="2" t="str">
        <f>"17:43:51.255"</f>
        <v>17:43:51.255</v>
      </c>
      <c r="B203" s="4">
        <f t="shared" si="39"/>
        <v>63831.254999999997</v>
      </c>
      <c r="C203" s="4">
        <f t="shared" si="33"/>
        <v>231.25499999999738</v>
      </c>
      <c r="D203" s="3">
        <f t="shared" si="34"/>
        <v>0.73878767361111108</v>
      </c>
      <c r="E203" s="2">
        <f t="shared" si="35"/>
        <v>0.73878767361111108</v>
      </c>
      <c r="G203" t="str">
        <f t="shared" si="30"/>
        <v>FFDFD7C0</v>
      </c>
      <c r="H203" t="s">
        <v>126</v>
      </c>
      <c r="I203">
        <v>8</v>
      </c>
      <c r="J203">
        <v>1008</v>
      </c>
      <c r="K203" t="s">
        <v>129</v>
      </c>
      <c r="N203" t="s">
        <v>127</v>
      </c>
      <c r="O203">
        <v>0</v>
      </c>
      <c r="P203">
        <v>3</v>
      </c>
      <c r="Q203">
        <v>0</v>
      </c>
      <c r="R203">
        <v>2</v>
      </c>
      <c r="S203">
        <v>1</v>
      </c>
      <c r="T203">
        <v>0</v>
      </c>
      <c r="U203">
        <v>0</v>
      </c>
      <c r="W203" t="str">
        <f>"17:43:50.969"</f>
        <v>17:43:50.969</v>
      </c>
      <c r="X203" t="str">
        <f>"17:43:50.669"</f>
        <v>17:43:50.669</v>
      </c>
      <c r="Y203" t="str">
        <f t="shared" si="31"/>
        <v>A7C771</v>
      </c>
      <c r="Z203">
        <v>0</v>
      </c>
      <c r="AA203">
        <v>0</v>
      </c>
      <c r="AB203">
        <v>2</v>
      </c>
      <c r="AC203">
        <v>0</v>
      </c>
      <c r="AE203">
        <v>0</v>
      </c>
      <c r="AF203">
        <v>8</v>
      </c>
      <c r="AG203">
        <v>3</v>
      </c>
      <c r="AH203">
        <v>0</v>
      </c>
      <c r="AI203">
        <v>9</v>
      </c>
      <c r="AJ203" t="s">
        <v>125</v>
      </c>
      <c r="AK203">
        <v>0</v>
      </c>
      <c r="AL203">
        <v>3</v>
      </c>
      <c r="AM203">
        <v>2</v>
      </c>
      <c r="AN203">
        <v>1</v>
      </c>
      <c r="AO203" t="s">
        <v>541</v>
      </c>
      <c r="AP203">
        <v>42.883372000000001</v>
      </c>
      <c r="AQ203" t="s">
        <v>542</v>
      </c>
      <c r="AR203">
        <v>-77.602186000000003</v>
      </c>
      <c r="AS203">
        <v>25</v>
      </c>
      <c r="AT203">
        <v>2575</v>
      </c>
      <c r="AU203" t="s">
        <v>123</v>
      </c>
      <c r="AV203">
        <v>103</v>
      </c>
      <c r="AW203">
        <v>182</v>
      </c>
      <c r="AX203">
        <v>-256</v>
      </c>
      <c r="AZ203">
        <f t="shared" si="36"/>
        <v>10609</v>
      </c>
      <c r="BA203">
        <f t="shared" si="37"/>
        <v>33124</v>
      </c>
      <c r="BB203" s="1">
        <f t="shared" si="38"/>
        <v>209.124364912365</v>
      </c>
      <c r="BJ203">
        <v>1404</v>
      </c>
      <c r="BK203">
        <v>1</v>
      </c>
      <c r="BL203" t="str">
        <f t="shared" si="32"/>
        <v xml:space="preserve">N600C   </v>
      </c>
      <c r="BM203">
        <v>2</v>
      </c>
      <c r="BO203">
        <v>0</v>
      </c>
      <c r="BP203">
        <v>0</v>
      </c>
      <c r="BQ203">
        <v>0</v>
      </c>
      <c r="BR203">
        <v>2725</v>
      </c>
      <c r="BS203">
        <v>150</v>
      </c>
      <c r="BT203" t="s">
        <v>128</v>
      </c>
      <c r="BU203">
        <v>0</v>
      </c>
      <c r="BV203">
        <v>0</v>
      </c>
      <c r="BW203">
        <v>0</v>
      </c>
      <c r="BX203">
        <v>1</v>
      </c>
      <c r="CA203">
        <v>0</v>
      </c>
      <c r="CB203">
        <v>0</v>
      </c>
      <c r="CC203">
        <v>0</v>
      </c>
      <c r="CM203" t="str">
        <f>"17:43:50.971"</f>
        <v>17:43:50.971</v>
      </c>
      <c r="CN203">
        <v>970877960</v>
      </c>
      <c r="CQ203">
        <v>0</v>
      </c>
      <c r="CR203">
        <v>2496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3</v>
      </c>
      <c r="DB203">
        <v>2</v>
      </c>
      <c r="DC203">
        <v>0</v>
      </c>
      <c r="DD203">
        <v>2</v>
      </c>
      <c r="DE203">
        <v>0</v>
      </c>
      <c r="DF203">
        <v>7</v>
      </c>
      <c r="DG203">
        <v>7</v>
      </c>
      <c r="DH203" t="s">
        <v>124</v>
      </c>
      <c r="DI203">
        <v>71</v>
      </c>
      <c r="DJ203">
        <v>1</v>
      </c>
      <c r="DK203" t="s">
        <v>134</v>
      </c>
      <c r="DL203" t="s">
        <v>135</v>
      </c>
      <c r="DO203">
        <v>11400816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</row>
    <row r="204" spans="1:131" x14ac:dyDescent="0.35">
      <c r="A204" s="2" t="str">
        <f>"17:43:52.287"</f>
        <v>17:43:52.287</v>
      </c>
      <c r="B204" s="4">
        <f t="shared" si="39"/>
        <v>63832.286999999997</v>
      </c>
      <c r="C204" s="4">
        <f t="shared" si="33"/>
        <v>232.28699999999662</v>
      </c>
      <c r="D204" s="3">
        <f t="shared" si="34"/>
        <v>0.7387996180555555</v>
      </c>
      <c r="E204" s="2">
        <f t="shared" si="35"/>
        <v>0.7387996180555555</v>
      </c>
      <c r="G204" t="str">
        <f t="shared" si="30"/>
        <v>FFDFD7C0</v>
      </c>
      <c r="H204" t="s">
        <v>126</v>
      </c>
      <c r="I204">
        <v>8</v>
      </c>
      <c r="J204">
        <v>1008</v>
      </c>
      <c r="K204" t="s">
        <v>129</v>
      </c>
      <c r="N204" t="s">
        <v>127</v>
      </c>
      <c r="O204">
        <v>0</v>
      </c>
      <c r="P204">
        <v>3</v>
      </c>
      <c r="Q204">
        <v>0</v>
      </c>
      <c r="R204">
        <v>2</v>
      </c>
      <c r="S204">
        <v>1</v>
      </c>
      <c r="T204">
        <v>0</v>
      </c>
      <c r="U204">
        <v>0</v>
      </c>
      <c r="W204" t="str">
        <f>"17:43:51.891"</f>
        <v>17:43:51.891</v>
      </c>
      <c r="X204" t="str">
        <f>"17:43:51.691"</f>
        <v>17:43:51.691</v>
      </c>
      <c r="Y204" t="str">
        <f t="shared" si="31"/>
        <v>A7C771</v>
      </c>
      <c r="Z204">
        <v>0</v>
      </c>
      <c r="AA204">
        <v>0</v>
      </c>
      <c r="AB204">
        <v>2</v>
      </c>
      <c r="AC204">
        <v>0</v>
      </c>
      <c r="AE204">
        <v>0</v>
      </c>
      <c r="AF204">
        <v>8</v>
      </c>
      <c r="AG204">
        <v>3</v>
      </c>
      <c r="AH204">
        <v>0</v>
      </c>
      <c r="AI204">
        <v>9</v>
      </c>
      <c r="AJ204" t="s">
        <v>125</v>
      </c>
      <c r="AK204">
        <v>0</v>
      </c>
      <c r="AL204">
        <v>3</v>
      </c>
      <c r="AM204">
        <v>2</v>
      </c>
      <c r="AN204">
        <v>1</v>
      </c>
      <c r="AO204" t="s">
        <v>543</v>
      </c>
      <c r="AP204">
        <v>42.884123000000002</v>
      </c>
      <c r="AQ204" t="s">
        <v>544</v>
      </c>
      <c r="AR204">
        <v>-77.601607000000001</v>
      </c>
      <c r="AS204">
        <v>25</v>
      </c>
      <c r="AT204">
        <v>2575</v>
      </c>
      <c r="AU204" t="s">
        <v>123</v>
      </c>
      <c r="AV204">
        <v>100</v>
      </c>
      <c r="AW204">
        <v>182</v>
      </c>
      <c r="AX204">
        <v>-384</v>
      </c>
      <c r="AZ204">
        <f t="shared" si="36"/>
        <v>10000</v>
      </c>
      <c r="BA204">
        <f t="shared" si="37"/>
        <v>33124</v>
      </c>
      <c r="BB204" s="1">
        <f t="shared" si="38"/>
        <v>207.66318884193223</v>
      </c>
      <c r="BJ204">
        <v>1404</v>
      </c>
      <c r="BK204">
        <v>1</v>
      </c>
      <c r="BL204" t="str">
        <f t="shared" si="32"/>
        <v xml:space="preserve">N600C   </v>
      </c>
      <c r="BM204">
        <v>2</v>
      </c>
      <c r="BO204">
        <v>0</v>
      </c>
      <c r="BP204">
        <v>0</v>
      </c>
      <c r="BQ204">
        <v>0</v>
      </c>
      <c r="BR204">
        <v>2725</v>
      </c>
      <c r="BS204">
        <v>150</v>
      </c>
      <c r="BT204" t="s">
        <v>128</v>
      </c>
      <c r="BU204">
        <v>0</v>
      </c>
      <c r="BV204">
        <v>0</v>
      </c>
      <c r="BW204">
        <v>0</v>
      </c>
      <c r="BX204">
        <v>1</v>
      </c>
      <c r="CA204">
        <v>0</v>
      </c>
      <c r="CB204">
        <v>0</v>
      </c>
      <c r="CC204">
        <v>0</v>
      </c>
      <c r="CM204" t="str">
        <f>"17:43:51.891"</f>
        <v>17:43:51.891</v>
      </c>
      <c r="CN204">
        <v>891049147</v>
      </c>
      <c r="CQ204">
        <v>0</v>
      </c>
      <c r="CR204">
        <v>2496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3</v>
      </c>
      <c r="DB204">
        <v>2</v>
      </c>
      <c r="DC204">
        <v>0</v>
      </c>
      <c r="DD204">
        <v>2</v>
      </c>
      <c r="DE204">
        <v>0</v>
      </c>
      <c r="DF204">
        <v>7</v>
      </c>
      <c r="DG204">
        <v>7</v>
      </c>
      <c r="DH204" t="s">
        <v>124</v>
      </c>
      <c r="DI204">
        <v>71</v>
      </c>
      <c r="DJ204">
        <v>1</v>
      </c>
      <c r="DK204" t="s">
        <v>134</v>
      </c>
      <c r="DL204" t="s">
        <v>135</v>
      </c>
      <c r="DO204">
        <v>11401658</v>
      </c>
      <c r="DQ204">
        <v>0</v>
      </c>
      <c r="DR204">
        <v>0</v>
      </c>
      <c r="DS204">
        <v>1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</row>
    <row r="205" spans="1:131" x14ac:dyDescent="0.35">
      <c r="A205" s="2" t="str">
        <f>"17:43:53.224"</f>
        <v>17:43:53.224</v>
      </c>
      <c r="B205" s="4">
        <f t="shared" si="39"/>
        <v>63833.223999999995</v>
      </c>
      <c r="C205" s="4">
        <f t="shared" si="33"/>
        <v>233.2239999999947</v>
      </c>
      <c r="D205" s="3">
        <f t="shared" si="34"/>
        <v>0.73881046296296293</v>
      </c>
      <c r="E205" s="2">
        <f t="shared" si="35"/>
        <v>0.73881046296296293</v>
      </c>
      <c r="G205" t="str">
        <f t="shared" si="30"/>
        <v>FFDFD7C0</v>
      </c>
      <c r="H205" t="s">
        <v>126</v>
      </c>
      <c r="I205">
        <v>8</v>
      </c>
      <c r="J205">
        <v>1008</v>
      </c>
      <c r="K205" t="s">
        <v>129</v>
      </c>
      <c r="N205" t="s">
        <v>127</v>
      </c>
      <c r="O205">
        <v>0</v>
      </c>
      <c r="P205">
        <v>3</v>
      </c>
      <c r="Q205">
        <v>0</v>
      </c>
      <c r="R205">
        <v>2</v>
      </c>
      <c r="S205">
        <v>1</v>
      </c>
      <c r="T205">
        <v>0</v>
      </c>
      <c r="U205">
        <v>0</v>
      </c>
      <c r="W205" t="str">
        <f>"17:43:52.961"</f>
        <v>17:43:52.961</v>
      </c>
      <c r="X205" t="str">
        <f>"17:43:52.661"</f>
        <v>17:43:52.661</v>
      </c>
      <c r="Y205" t="str">
        <f t="shared" si="31"/>
        <v>A7C771</v>
      </c>
      <c r="Z205">
        <v>0</v>
      </c>
      <c r="AA205">
        <v>0</v>
      </c>
      <c r="AB205">
        <v>2</v>
      </c>
      <c r="AC205">
        <v>0</v>
      </c>
      <c r="AE205">
        <v>0</v>
      </c>
      <c r="AF205">
        <v>8</v>
      </c>
      <c r="AG205">
        <v>3</v>
      </c>
      <c r="AH205">
        <v>0</v>
      </c>
      <c r="AI205">
        <v>9</v>
      </c>
      <c r="AJ205" t="s">
        <v>125</v>
      </c>
      <c r="AK205">
        <v>0</v>
      </c>
      <c r="AL205">
        <v>3</v>
      </c>
      <c r="AM205">
        <v>2</v>
      </c>
      <c r="AN205">
        <v>1</v>
      </c>
      <c r="AO205" t="s">
        <v>545</v>
      </c>
      <c r="AP205">
        <v>42.885002999999998</v>
      </c>
      <c r="AQ205" t="s">
        <v>546</v>
      </c>
      <c r="AR205">
        <v>-77.601027000000002</v>
      </c>
      <c r="AS205">
        <v>25</v>
      </c>
      <c r="AT205">
        <v>2575</v>
      </c>
      <c r="AU205" t="s">
        <v>123</v>
      </c>
      <c r="AV205">
        <v>98</v>
      </c>
      <c r="AW205">
        <v>183</v>
      </c>
      <c r="AX205">
        <v>-576</v>
      </c>
      <c r="AZ205">
        <f t="shared" si="36"/>
        <v>9604</v>
      </c>
      <c r="BA205">
        <f t="shared" si="37"/>
        <v>33489</v>
      </c>
      <c r="BB205" s="1">
        <f t="shared" si="38"/>
        <v>207.5885353289049</v>
      </c>
      <c r="BJ205">
        <v>1404</v>
      </c>
      <c r="BK205">
        <v>1</v>
      </c>
      <c r="BL205" t="str">
        <f t="shared" si="32"/>
        <v xml:space="preserve">N600C   </v>
      </c>
      <c r="BM205">
        <v>2</v>
      </c>
      <c r="BO205">
        <v>0</v>
      </c>
      <c r="BP205">
        <v>0</v>
      </c>
      <c r="BQ205">
        <v>0</v>
      </c>
      <c r="BR205">
        <v>2725</v>
      </c>
      <c r="BS205">
        <v>150</v>
      </c>
      <c r="BT205" t="s">
        <v>128</v>
      </c>
      <c r="BU205">
        <v>0</v>
      </c>
      <c r="BV205">
        <v>0</v>
      </c>
      <c r="BW205">
        <v>0</v>
      </c>
      <c r="BX205">
        <v>1</v>
      </c>
      <c r="CA205">
        <v>0</v>
      </c>
      <c r="CB205">
        <v>0</v>
      </c>
      <c r="CC205">
        <v>0</v>
      </c>
      <c r="CM205" t="str">
        <f>"17:43:52.963"</f>
        <v>17:43:52.963</v>
      </c>
      <c r="CN205">
        <v>963271641</v>
      </c>
      <c r="CQ205">
        <v>0</v>
      </c>
      <c r="CR205">
        <v>2496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3</v>
      </c>
      <c r="DB205">
        <v>2</v>
      </c>
      <c r="DC205">
        <v>0</v>
      </c>
      <c r="DD205">
        <v>2</v>
      </c>
      <c r="DE205">
        <v>0</v>
      </c>
      <c r="DF205">
        <v>7</v>
      </c>
      <c r="DG205">
        <v>7</v>
      </c>
      <c r="DH205" t="s">
        <v>124</v>
      </c>
      <c r="DI205">
        <v>407</v>
      </c>
      <c r="DJ205">
        <v>3</v>
      </c>
      <c r="DK205" t="s">
        <v>132</v>
      </c>
      <c r="DL205" t="s">
        <v>133</v>
      </c>
      <c r="DO205">
        <v>1446455</v>
      </c>
      <c r="DQ205">
        <v>0</v>
      </c>
      <c r="DR205">
        <v>0</v>
      </c>
      <c r="DS205">
        <v>1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</row>
    <row r="206" spans="1:131" x14ac:dyDescent="0.35">
      <c r="A206" s="2" t="str">
        <f>"17:43:54.208"</f>
        <v>17:43:54.208</v>
      </c>
      <c r="B206" s="4">
        <f t="shared" si="39"/>
        <v>63834.207999999991</v>
      </c>
      <c r="C206" s="4">
        <f t="shared" si="33"/>
        <v>234.20799999999144</v>
      </c>
      <c r="D206" s="3">
        <f t="shared" si="34"/>
        <v>0.73882185185185179</v>
      </c>
      <c r="E206" s="2">
        <f t="shared" si="35"/>
        <v>0.73882185185185179</v>
      </c>
      <c r="G206" t="str">
        <f t="shared" si="30"/>
        <v>FFDFD7C0</v>
      </c>
      <c r="H206" t="s">
        <v>126</v>
      </c>
      <c r="I206">
        <v>8</v>
      </c>
      <c r="J206">
        <v>1008</v>
      </c>
      <c r="K206" t="s">
        <v>129</v>
      </c>
      <c r="N206" t="s">
        <v>127</v>
      </c>
      <c r="O206">
        <v>0</v>
      </c>
      <c r="P206">
        <v>3</v>
      </c>
      <c r="Q206">
        <v>0</v>
      </c>
      <c r="R206">
        <v>2</v>
      </c>
      <c r="S206">
        <v>1</v>
      </c>
      <c r="T206">
        <v>0</v>
      </c>
      <c r="U206">
        <v>0</v>
      </c>
      <c r="W206" t="str">
        <f>"17:43:54.000"</f>
        <v>17:43:54.000</v>
      </c>
      <c r="X206" t="str">
        <f>"17:43:53.700"</f>
        <v>17:43:53.700</v>
      </c>
      <c r="Y206" t="str">
        <f t="shared" si="31"/>
        <v>A7C771</v>
      </c>
      <c r="Z206">
        <v>0</v>
      </c>
      <c r="AA206">
        <v>0</v>
      </c>
      <c r="AB206">
        <v>2</v>
      </c>
      <c r="AC206">
        <v>0</v>
      </c>
      <c r="AE206">
        <v>0</v>
      </c>
      <c r="AF206">
        <v>8</v>
      </c>
      <c r="AG206">
        <v>3</v>
      </c>
      <c r="AH206">
        <v>0</v>
      </c>
      <c r="AI206">
        <v>9</v>
      </c>
      <c r="AJ206" t="s">
        <v>125</v>
      </c>
      <c r="AK206">
        <v>0</v>
      </c>
      <c r="AL206">
        <v>3</v>
      </c>
      <c r="AM206">
        <v>2</v>
      </c>
      <c r="AN206">
        <v>1</v>
      </c>
      <c r="AO206" t="s">
        <v>547</v>
      </c>
      <c r="AP206">
        <v>42.885925999999998</v>
      </c>
      <c r="AQ206" t="s">
        <v>548</v>
      </c>
      <c r="AR206">
        <v>-77.600362000000004</v>
      </c>
      <c r="AS206">
        <v>25</v>
      </c>
      <c r="AT206">
        <v>2550</v>
      </c>
      <c r="AU206" t="s">
        <v>123</v>
      </c>
      <c r="AV206">
        <v>95</v>
      </c>
      <c r="AW206">
        <v>184</v>
      </c>
      <c r="AX206">
        <v>-576</v>
      </c>
      <c r="AZ206">
        <f t="shared" si="36"/>
        <v>9025</v>
      </c>
      <c r="BA206">
        <f t="shared" si="37"/>
        <v>33856</v>
      </c>
      <c r="BB206" s="1">
        <f t="shared" si="38"/>
        <v>207.07728026029315</v>
      </c>
      <c r="BJ206">
        <v>1404</v>
      </c>
      <c r="BK206">
        <v>1</v>
      </c>
      <c r="BL206" t="str">
        <f t="shared" si="32"/>
        <v xml:space="preserve">N600C   </v>
      </c>
      <c r="BM206">
        <v>2</v>
      </c>
      <c r="BO206">
        <v>0</v>
      </c>
      <c r="BP206">
        <v>0</v>
      </c>
      <c r="BQ206">
        <v>0</v>
      </c>
      <c r="BR206">
        <v>2700</v>
      </c>
      <c r="BS206">
        <v>150</v>
      </c>
      <c r="BT206" t="s">
        <v>128</v>
      </c>
      <c r="BU206">
        <v>0</v>
      </c>
      <c r="BV206">
        <v>0</v>
      </c>
      <c r="BW206">
        <v>0</v>
      </c>
      <c r="BX206">
        <v>1</v>
      </c>
      <c r="CA206">
        <v>0</v>
      </c>
      <c r="CB206">
        <v>0</v>
      </c>
      <c r="CC206">
        <v>0</v>
      </c>
      <c r="CM206" t="str">
        <f>"17:43:54.003"</f>
        <v>17:43:54.003</v>
      </c>
      <c r="CN206">
        <v>3437301</v>
      </c>
      <c r="CQ206">
        <v>0</v>
      </c>
      <c r="CR206">
        <v>2496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3</v>
      </c>
      <c r="DB206">
        <v>2</v>
      </c>
      <c r="DC206">
        <v>0</v>
      </c>
      <c r="DD206">
        <v>2</v>
      </c>
      <c r="DE206">
        <v>0</v>
      </c>
      <c r="DF206">
        <v>7</v>
      </c>
      <c r="DG206">
        <v>7</v>
      </c>
      <c r="DH206" t="s">
        <v>124</v>
      </c>
      <c r="DI206">
        <v>71</v>
      </c>
      <c r="DJ206">
        <v>1</v>
      </c>
      <c r="DK206" t="s">
        <v>134</v>
      </c>
      <c r="DL206" t="s">
        <v>135</v>
      </c>
      <c r="DO206">
        <v>11403504</v>
      </c>
      <c r="DQ206">
        <v>0</v>
      </c>
      <c r="DR206">
        <v>0</v>
      </c>
      <c r="DS206">
        <v>1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</row>
    <row r="207" spans="1:131" x14ac:dyDescent="0.35">
      <c r="A207" s="2" t="str">
        <f>"17:43:55.209"</f>
        <v>17:43:55.209</v>
      </c>
      <c r="B207" s="4">
        <f t="shared" si="39"/>
        <v>63835.20900000001</v>
      </c>
      <c r="C207" s="4">
        <f t="shared" si="33"/>
        <v>235.20900000000984</v>
      </c>
      <c r="D207" s="3">
        <f t="shared" si="34"/>
        <v>0.73883343750000008</v>
      </c>
      <c r="E207" s="2">
        <f t="shared" si="35"/>
        <v>0.73883343750000008</v>
      </c>
      <c r="G207" t="str">
        <f t="shared" si="30"/>
        <v>FFDFD7C0</v>
      </c>
      <c r="H207" t="s">
        <v>126</v>
      </c>
      <c r="I207">
        <v>8</v>
      </c>
      <c r="J207">
        <v>1008</v>
      </c>
      <c r="K207" t="s">
        <v>129</v>
      </c>
      <c r="N207" t="s">
        <v>127</v>
      </c>
      <c r="O207">
        <v>0</v>
      </c>
      <c r="P207">
        <v>3</v>
      </c>
      <c r="Q207">
        <v>0</v>
      </c>
      <c r="R207">
        <v>2</v>
      </c>
      <c r="S207">
        <v>1</v>
      </c>
      <c r="T207">
        <v>0</v>
      </c>
      <c r="U207">
        <v>0</v>
      </c>
      <c r="W207" t="str">
        <f>"17:43:54.961"</f>
        <v>17:43:54.961</v>
      </c>
      <c r="X207" t="str">
        <f>"17:43:54.761"</f>
        <v>17:43:54.761</v>
      </c>
      <c r="Y207" t="str">
        <f t="shared" si="31"/>
        <v>A7C771</v>
      </c>
      <c r="Z207">
        <v>0</v>
      </c>
      <c r="AA207">
        <v>0</v>
      </c>
      <c r="AB207">
        <v>2</v>
      </c>
      <c r="AC207">
        <v>0</v>
      </c>
      <c r="AE207">
        <v>0</v>
      </c>
      <c r="AF207">
        <v>8</v>
      </c>
      <c r="AG207">
        <v>3</v>
      </c>
      <c r="AH207">
        <v>0</v>
      </c>
      <c r="AI207">
        <v>9</v>
      </c>
      <c r="AJ207" t="s">
        <v>125</v>
      </c>
      <c r="AK207">
        <v>0</v>
      </c>
      <c r="AL207">
        <v>3</v>
      </c>
      <c r="AM207">
        <v>2</v>
      </c>
      <c r="AN207">
        <v>1</v>
      </c>
      <c r="AO207" t="s">
        <v>549</v>
      </c>
      <c r="AP207">
        <v>42.886698000000003</v>
      </c>
      <c r="AQ207" t="s">
        <v>550</v>
      </c>
      <c r="AR207">
        <v>-77.599825999999993</v>
      </c>
      <c r="AS207">
        <v>25</v>
      </c>
      <c r="AT207">
        <v>2550</v>
      </c>
      <c r="AU207" t="s">
        <v>123</v>
      </c>
      <c r="AV207">
        <v>94</v>
      </c>
      <c r="AW207">
        <v>185</v>
      </c>
      <c r="AX207">
        <v>-576</v>
      </c>
      <c r="AZ207">
        <f t="shared" si="36"/>
        <v>8836</v>
      </c>
      <c r="BA207">
        <f t="shared" si="37"/>
        <v>34225</v>
      </c>
      <c r="BB207" s="1">
        <f t="shared" si="38"/>
        <v>207.51144546747295</v>
      </c>
      <c r="BJ207">
        <v>1404</v>
      </c>
      <c r="BK207">
        <v>1</v>
      </c>
      <c r="BL207" t="str">
        <f t="shared" si="32"/>
        <v xml:space="preserve">N600C   </v>
      </c>
      <c r="BM207">
        <v>2</v>
      </c>
      <c r="BO207">
        <v>0</v>
      </c>
      <c r="BP207">
        <v>0</v>
      </c>
      <c r="BQ207">
        <v>0</v>
      </c>
      <c r="BR207">
        <v>2700</v>
      </c>
      <c r="BS207">
        <v>150</v>
      </c>
      <c r="BT207" t="s">
        <v>128</v>
      </c>
      <c r="BU207">
        <v>0</v>
      </c>
      <c r="BV207">
        <v>0</v>
      </c>
      <c r="BW207">
        <v>0</v>
      </c>
      <c r="BX207">
        <v>1</v>
      </c>
      <c r="CA207">
        <v>0</v>
      </c>
      <c r="CB207">
        <v>0</v>
      </c>
      <c r="CC207">
        <v>0</v>
      </c>
      <c r="CM207" t="str">
        <f>"17:43:54.964"</f>
        <v>17:43:54.964</v>
      </c>
      <c r="CN207">
        <v>963622179</v>
      </c>
      <c r="CQ207">
        <v>0</v>
      </c>
      <c r="CR207">
        <v>2496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3</v>
      </c>
      <c r="DB207">
        <v>2</v>
      </c>
      <c r="DC207">
        <v>0</v>
      </c>
      <c r="DD207">
        <v>2</v>
      </c>
      <c r="DE207">
        <v>0</v>
      </c>
      <c r="DF207">
        <v>7</v>
      </c>
      <c r="DG207">
        <v>7</v>
      </c>
      <c r="DH207" t="s">
        <v>124</v>
      </c>
      <c r="DI207">
        <v>71</v>
      </c>
      <c r="DJ207">
        <v>1</v>
      </c>
      <c r="DK207" t="s">
        <v>134</v>
      </c>
      <c r="DL207" t="s">
        <v>135</v>
      </c>
      <c r="DO207">
        <v>11404354</v>
      </c>
      <c r="DQ207">
        <v>0</v>
      </c>
      <c r="DR207">
        <v>0</v>
      </c>
      <c r="DS207">
        <v>1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</row>
    <row r="208" spans="1:131" x14ac:dyDescent="0.35">
      <c r="A208" s="2" t="str">
        <f>"17:43:56.319"</f>
        <v>17:43:56.319</v>
      </c>
      <c r="B208" s="4">
        <f t="shared" si="39"/>
        <v>63836.319000000003</v>
      </c>
      <c r="C208" s="4">
        <f t="shared" si="33"/>
        <v>236.31900000000314</v>
      </c>
      <c r="D208" s="3">
        <f t="shared" si="34"/>
        <v>0.73884628472222225</v>
      </c>
      <c r="E208" s="2">
        <f t="shared" si="35"/>
        <v>0.73884628472222225</v>
      </c>
      <c r="G208" t="str">
        <f t="shared" si="30"/>
        <v>FFDFD7C0</v>
      </c>
      <c r="H208" t="s">
        <v>126</v>
      </c>
      <c r="I208">
        <v>8</v>
      </c>
      <c r="J208">
        <v>1008</v>
      </c>
      <c r="K208" t="s">
        <v>129</v>
      </c>
      <c r="N208" t="s">
        <v>127</v>
      </c>
      <c r="O208">
        <v>0</v>
      </c>
      <c r="P208">
        <v>3</v>
      </c>
      <c r="Q208">
        <v>0</v>
      </c>
      <c r="R208">
        <v>2</v>
      </c>
      <c r="S208">
        <v>1</v>
      </c>
      <c r="T208">
        <v>0</v>
      </c>
      <c r="U208">
        <v>0</v>
      </c>
      <c r="W208" t="str">
        <f>"17:43:56.039"</f>
        <v>17:43:56.039</v>
      </c>
      <c r="X208" t="str">
        <f>"17:43:55.739"</f>
        <v>17:43:55.739</v>
      </c>
      <c r="Y208" t="str">
        <f t="shared" si="31"/>
        <v>A7C771</v>
      </c>
      <c r="Z208">
        <v>0</v>
      </c>
      <c r="AA208">
        <v>0</v>
      </c>
      <c r="AB208">
        <v>2</v>
      </c>
      <c r="AC208">
        <v>0</v>
      </c>
      <c r="AE208">
        <v>0</v>
      </c>
      <c r="AF208">
        <v>8</v>
      </c>
      <c r="AG208">
        <v>3</v>
      </c>
      <c r="AH208">
        <v>0</v>
      </c>
      <c r="AI208">
        <v>9</v>
      </c>
      <c r="AJ208" t="s">
        <v>125</v>
      </c>
      <c r="AK208">
        <v>0</v>
      </c>
      <c r="AL208">
        <v>3</v>
      </c>
      <c r="AM208">
        <v>2</v>
      </c>
      <c r="AN208">
        <v>1</v>
      </c>
      <c r="AO208" t="s">
        <v>551</v>
      </c>
      <c r="AP208">
        <v>42.887642</v>
      </c>
      <c r="AQ208" t="s">
        <v>552</v>
      </c>
      <c r="AR208">
        <v>-77.599181999999999</v>
      </c>
      <c r="AS208">
        <v>25</v>
      </c>
      <c r="AT208">
        <v>2525</v>
      </c>
      <c r="AU208" t="s">
        <v>123</v>
      </c>
      <c r="AV208">
        <v>92</v>
      </c>
      <c r="AW208">
        <v>186</v>
      </c>
      <c r="AX208">
        <v>-640</v>
      </c>
      <c r="AZ208">
        <f t="shared" si="36"/>
        <v>8464</v>
      </c>
      <c r="BA208">
        <f t="shared" si="37"/>
        <v>34596</v>
      </c>
      <c r="BB208" s="1">
        <f t="shared" si="38"/>
        <v>207.50903594783529</v>
      </c>
      <c r="BJ208">
        <v>1404</v>
      </c>
      <c r="BK208">
        <v>1</v>
      </c>
      <c r="BL208" t="str">
        <f t="shared" si="32"/>
        <v xml:space="preserve">N600C   </v>
      </c>
      <c r="BM208">
        <v>2</v>
      </c>
      <c r="BO208">
        <v>0</v>
      </c>
      <c r="BP208">
        <v>0</v>
      </c>
      <c r="BQ208">
        <v>0</v>
      </c>
      <c r="BR208">
        <v>2725</v>
      </c>
      <c r="BS208">
        <v>200</v>
      </c>
      <c r="BT208" t="s">
        <v>128</v>
      </c>
      <c r="BU208">
        <v>0</v>
      </c>
      <c r="BV208">
        <v>0</v>
      </c>
      <c r="BW208">
        <v>0</v>
      </c>
      <c r="BX208">
        <v>1</v>
      </c>
      <c r="CA208">
        <v>0</v>
      </c>
      <c r="CB208">
        <v>0</v>
      </c>
      <c r="CC208">
        <v>0</v>
      </c>
      <c r="CM208" t="str">
        <f>"17:43:56.044"</f>
        <v>17:43:56.044</v>
      </c>
      <c r="CN208">
        <v>43824152</v>
      </c>
      <c r="CQ208">
        <v>0</v>
      </c>
      <c r="CR208">
        <v>2496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3</v>
      </c>
      <c r="DB208">
        <v>2</v>
      </c>
      <c r="DC208">
        <v>0</v>
      </c>
      <c r="DD208">
        <v>2</v>
      </c>
      <c r="DE208">
        <v>0</v>
      </c>
      <c r="DF208">
        <v>7</v>
      </c>
      <c r="DG208">
        <v>7</v>
      </c>
      <c r="DH208" t="s">
        <v>124</v>
      </c>
      <c r="DI208">
        <v>71</v>
      </c>
      <c r="DJ208">
        <v>1</v>
      </c>
      <c r="DK208" t="s">
        <v>134</v>
      </c>
      <c r="DL208" t="s">
        <v>135</v>
      </c>
      <c r="DO208">
        <v>11405286</v>
      </c>
      <c r="DQ208">
        <v>0</v>
      </c>
      <c r="DR208">
        <v>0</v>
      </c>
      <c r="DS208">
        <v>1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</row>
    <row r="209" spans="1:131" x14ac:dyDescent="0.35">
      <c r="A209" s="2" t="str">
        <f>"17:43:57.428"</f>
        <v>17:43:57.428</v>
      </c>
      <c r="B209" s="4">
        <f t="shared" si="39"/>
        <v>63837.428</v>
      </c>
      <c r="C209" s="4">
        <f t="shared" si="33"/>
        <v>237.42799999999988</v>
      </c>
      <c r="D209" s="3">
        <f t="shared" si="34"/>
        <v>0.73885912037037038</v>
      </c>
      <c r="E209" s="2">
        <f t="shared" si="35"/>
        <v>0.73885912037037038</v>
      </c>
      <c r="G209" t="str">
        <f t="shared" si="30"/>
        <v>FFDFD7C0</v>
      </c>
      <c r="H209" t="s">
        <v>126</v>
      </c>
      <c r="I209">
        <v>8</v>
      </c>
      <c r="J209">
        <v>1008</v>
      </c>
      <c r="K209" t="s">
        <v>129</v>
      </c>
      <c r="N209" t="s">
        <v>127</v>
      </c>
      <c r="O209">
        <v>0</v>
      </c>
      <c r="P209">
        <v>3</v>
      </c>
      <c r="Q209">
        <v>0</v>
      </c>
      <c r="R209">
        <v>2</v>
      </c>
      <c r="S209">
        <v>1</v>
      </c>
      <c r="T209">
        <v>0</v>
      </c>
      <c r="U209">
        <v>0</v>
      </c>
      <c r="W209" t="str">
        <f>"17:43:57.023"</f>
        <v>17:43:57.023</v>
      </c>
      <c r="X209" t="str">
        <f>"17:43:56.823"</f>
        <v>17:43:56.823</v>
      </c>
      <c r="Y209" t="str">
        <f t="shared" si="31"/>
        <v>A7C771</v>
      </c>
      <c r="Z209">
        <v>0</v>
      </c>
      <c r="AA209">
        <v>0</v>
      </c>
      <c r="AB209">
        <v>2</v>
      </c>
      <c r="AC209">
        <v>0</v>
      </c>
      <c r="AE209">
        <v>0</v>
      </c>
      <c r="AF209">
        <v>8</v>
      </c>
      <c r="AG209">
        <v>3</v>
      </c>
      <c r="AH209">
        <v>0</v>
      </c>
      <c r="AI209">
        <v>9</v>
      </c>
      <c r="AJ209" t="s">
        <v>125</v>
      </c>
      <c r="AK209">
        <v>0</v>
      </c>
      <c r="AL209">
        <v>3</v>
      </c>
      <c r="AM209">
        <v>2</v>
      </c>
      <c r="AN209">
        <v>1</v>
      </c>
      <c r="AO209" t="s">
        <v>553</v>
      </c>
      <c r="AP209">
        <v>42.888522000000002</v>
      </c>
      <c r="AQ209" t="s">
        <v>554</v>
      </c>
      <c r="AR209">
        <v>-77.598667000000006</v>
      </c>
      <c r="AS209">
        <v>25</v>
      </c>
      <c r="AT209">
        <v>2525</v>
      </c>
      <c r="AU209" t="s">
        <v>123</v>
      </c>
      <c r="AV209">
        <v>91</v>
      </c>
      <c r="AW209">
        <v>186</v>
      </c>
      <c r="AX209">
        <v>-704</v>
      </c>
      <c r="AZ209">
        <f t="shared" si="36"/>
        <v>8281</v>
      </c>
      <c r="BA209">
        <f t="shared" si="37"/>
        <v>34596</v>
      </c>
      <c r="BB209" s="1">
        <f t="shared" si="38"/>
        <v>207.06762180505189</v>
      </c>
      <c r="BJ209">
        <v>1404</v>
      </c>
      <c r="BK209">
        <v>1</v>
      </c>
      <c r="BL209" t="str">
        <f t="shared" si="32"/>
        <v xml:space="preserve">N600C   </v>
      </c>
      <c r="BM209">
        <v>2</v>
      </c>
      <c r="BO209">
        <v>0</v>
      </c>
      <c r="BP209">
        <v>0</v>
      </c>
      <c r="BQ209">
        <v>0</v>
      </c>
      <c r="BR209">
        <v>2700</v>
      </c>
      <c r="BS209">
        <v>175</v>
      </c>
      <c r="BT209" t="s">
        <v>128</v>
      </c>
      <c r="BU209">
        <v>0</v>
      </c>
      <c r="BV209">
        <v>0</v>
      </c>
      <c r="BW209">
        <v>0</v>
      </c>
      <c r="BX209">
        <v>1</v>
      </c>
      <c r="CA209">
        <v>0</v>
      </c>
      <c r="CB209">
        <v>0</v>
      </c>
      <c r="CC209">
        <v>0</v>
      </c>
      <c r="CM209" t="str">
        <f>"17:43:57.028"</f>
        <v>17:43:57.028</v>
      </c>
      <c r="CN209">
        <v>28025149</v>
      </c>
      <c r="CQ209">
        <v>0</v>
      </c>
      <c r="CR209">
        <v>2496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3</v>
      </c>
      <c r="DB209">
        <v>2</v>
      </c>
      <c r="DC209">
        <v>0</v>
      </c>
      <c r="DD209">
        <v>2</v>
      </c>
      <c r="DE209">
        <v>0</v>
      </c>
      <c r="DF209">
        <v>7</v>
      </c>
      <c r="DG209">
        <v>7</v>
      </c>
      <c r="DH209" t="s">
        <v>124</v>
      </c>
      <c r="DI209">
        <v>71</v>
      </c>
      <c r="DJ209">
        <v>1</v>
      </c>
      <c r="DK209" t="s">
        <v>134</v>
      </c>
      <c r="DL209" t="s">
        <v>135</v>
      </c>
      <c r="DO209">
        <v>11406141</v>
      </c>
      <c r="DQ209">
        <v>0</v>
      </c>
      <c r="DR209">
        <v>0</v>
      </c>
      <c r="DS209">
        <v>1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</row>
    <row r="210" spans="1:131" x14ac:dyDescent="0.35">
      <c r="A210" s="2" t="str">
        <f>"17:43:58.272"</f>
        <v>17:43:58.272</v>
      </c>
      <c r="B210" s="4">
        <f t="shared" si="39"/>
        <v>63838.272000000004</v>
      </c>
      <c r="C210" s="4">
        <f t="shared" si="33"/>
        <v>238.27200000000448</v>
      </c>
      <c r="D210" s="3">
        <f t="shared" si="34"/>
        <v>0.73886888888888891</v>
      </c>
      <c r="E210" s="2">
        <f t="shared" si="35"/>
        <v>0.73886888888888891</v>
      </c>
      <c r="G210" t="str">
        <f t="shared" si="30"/>
        <v>FFDFD7C0</v>
      </c>
      <c r="H210" t="s">
        <v>126</v>
      </c>
      <c r="I210">
        <v>8</v>
      </c>
      <c r="J210">
        <v>1008</v>
      </c>
      <c r="K210" t="s">
        <v>129</v>
      </c>
      <c r="N210" t="s">
        <v>127</v>
      </c>
      <c r="O210">
        <v>0</v>
      </c>
      <c r="P210">
        <v>3</v>
      </c>
      <c r="Q210">
        <v>0</v>
      </c>
      <c r="R210">
        <v>2</v>
      </c>
      <c r="S210">
        <v>1</v>
      </c>
      <c r="T210">
        <v>0</v>
      </c>
      <c r="U210">
        <v>0</v>
      </c>
      <c r="W210" t="str">
        <f>"17:43:57.961"</f>
        <v>17:43:57.961</v>
      </c>
      <c r="X210" t="str">
        <f>"17:43:57.761"</f>
        <v>17:43:57.761</v>
      </c>
      <c r="Y210" t="str">
        <f t="shared" si="31"/>
        <v>A7C771</v>
      </c>
      <c r="Z210">
        <v>0</v>
      </c>
      <c r="AA210">
        <v>0</v>
      </c>
      <c r="AB210">
        <v>2</v>
      </c>
      <c r="AC210">
        <v>0</v>
      </c>
      <c r="AE210">
        <v>0</v>
      </c>
      <c r="AF210">
        <v>8</v>
      </c>
      <c r="AG210">
        <v>3</v>
      </c>
      <c r="AH210">
        <v>0</v>
      </c>
      <c r="AI210">
        <v>9</v>
      </c>
      <c r="AJ210" t="s">
        <v>125</v>
      </c>
      <c r="AK210">
        <v>0</v>
      </c>
      <c r="AL210">
        <v>3</v>
      </c>
      <c r="AM210">
        <v>2</v>
      </c>
      <c r="AN210">
        <v>1</v>
      </c>
      <c r="AO210" t="s">
        <v>555</v>
      </c>
      <c r="AP210">
        <v>42.889294999999997</v>
      </c>
      <c r="AQ210" t="s">
        <v>556</v>
      </c>
      <c r="AR210">
        <v>-77.598088000000004</v>
      </c>
      <c r="AS210">
        <v>25</v>
      </c>
      <c r="AT210">
        <v>2500</v>
      </c>
      <c r="AU210" t="s">
        <v>123</v>
      </c>
      <c r="AV210">
        <v>91</v>
      </c>
      <c r="AW210">
        <v>186</v>
      </c>
      <c r="AX210">
        <v>-704</v>
      </c>
      <c r="AZ210">
        <f t="shared" si="36"/>
        <v>8281</v>
      </c>
      <c r="BA210">
        <f t="shared" si="37"/>
        <v>34596</v>
      </c>
      <c r="BB210" s="1">
        <f t="shared" si="38"/>
        <v>207.06762180505189</v>
      </c>
      <c r="BJ210">
        <v>1404</v>
      </c>
      <c r="BK210">
        <v>1</v>
      </c>
      <c r="BL210" t="str">
        <f t="shared" si="32"/>
        <v xml:space="preserve">N600C   </v>
      </c>
      <c r="BM210">
        <v>2</v>
      </c>
      <c r="BO210">
        <v>0</v>
      </c>
      <c r="BP210">
        <v>0</v>
      </c>
      <c r="BQ210">
        <v>0</v>
      </c>
      <c r="BR210">
        <v>2700</v>
      </c>
      <c r="BS210">
        <v>200</v>
      </c>
      <c r="BT210" t="s">
        <v>128</v>
      </c>
      <c r="BU210">
        <v>0</v>
      </c>
      <c r="BV210">
        <v>0</v>
      </c>
      <c r="BW210">
        <v>0</v>
      </c>
      <c r="BX210">
        <v>1</v>
      </c>
      <c r="CA210">
        <v>0</v>
      </c>
      <c r="CB210">
        <v>0</v>
      </c>
      <c r="CC210">
        <v>0</v>
      </c>
      <c r="CM210" t="str">
        <f>"17:43:57.964"</f>
        <v>17:43:57.964</v>
      </c>
      <c r="CN210">
        <v>964173604</v>
      </c>
      <c r="CQ210">
        <v>0</v>
      </c>
      <c r="CR210">
        <v>2496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3</v>
      </c>
      <c r="DB210">
        <v>2</v>
      </c>
      <c r="DC210">
        <v>0</v>
      </c>
      <c r="DD210">
        <v>2</v>
      </c>
      <c r="DE210">
        <v>0</v>
      </c>
      <c r="DF210">
        <v>7</v>
      </c>
      <c r="DG210">
        <v>7</v>
      </c>
      <c r="DH210" t="s">
        <v>124</v>
      </c>
      <c r="DI210">
        <v>71</v>
      </c>
      <c r="DJ210">
        <v>1</v>
      </c>
      <c r="DK210" t="s">
        <v>134</v>
      </c>
      <c r="DL210" t="s">
        <v>135</v>
      </c>
      <c r="DO210">
        <v>11406909</v>
      </c>
      <c r="DQ210">
        <v>0</v>
      </c>
      <c r="DR210">
        <v>0</v>
      </c>
      <c r="DS210">
        <v>1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</row>
    <row r="211" spans="1:131" x14ac:dyDescent="0.35">
      <c r="A211" s="2" t="str">
        <f>"17:43:59.037"</f>
        <v>17:43:59.037</v>
      </c>
      <c r="B211" s="4">
        <f t="shared" si="39"/>
        <v>63839.036999999997</v>
      </c>
      <c r="C211" s="4">
        <f t="shared" si="33"/>
        <v>239.03699999999662</v>
      </c>
      <c r="D211" s="3">
        <f t="shared" si="34"/>
        <v>0.73887774305555554</v>
      </c>
      <c r="E211" s="2">
        <f t="shared" si="35"/>
        <v>0.73887774305555554</v>
      </c>
      <c r="G211" t="str">
        <f t="shared" si="30"/>
        <v>FFDFD7C0</v>
      </c>
      <c r="H211" t="s">
        <v>126</v>
      </c>
      <c r="I211">
        <v>8</v>
      </c>
      <c r="J211">
        <v>1008</v>
      </c>
      <c r="K211" t="s">
        <v>129</v>
      </c>
      <c r="N211" t="s">
        <v>127</v>
      </c>
      <c r="O211">
        <v>0</v>
      </c>
      <c r="P211">
        <v>3</v>
      </c>
      <c r="Q211">
        <v>0</v>
      </c>
      <c r="R211">
        <v>2</v>
      </c>
      <c r="S211">
        <v>1</v>
      </c>
      <c r="T211">
        <v>0</v>
      </c>
      <c r="U211">
        <v>0</v>
      </c>
      <c r="W211" t="str">
        <f>"17:43:58.789"</f>
        <v>17:43:58.789</v>
      </c>
      <c r="X211" t="str">
        <f>"17:43:58.289"</f>
        <v>17:43:58.289</v>
      </c>
      <c r="Y211" t="str">
        <f t="shared" si="31"/>
        <v>A7C771</v>
      </c>
      <c r="Z211">
        <v>0</v>
      </c>
      <c r="AA211">
        <v>0</v>
      </c>
      <c r="AB211">
        <v>2</v>
      </c>
      <c r="AC211">
        <v>0</v>
      </c>
      <c r="AE211">
        <v>0</v>
      </c>
      <c r="AF211">
        <v>8</v>
      </c>
      <c r="AG211">
        <v>3</v>
      </c>
      <c r="AH211">
        <v>0</v>
      </c>
      <c r="AI211">
        <v>9</v>
      </c>
      <c r="AJ211" t="s">
        <v>125</v>
      </c>
      <c r="AK211">
        <v>0</v>
      </c>
      <c r="AL211">
        <v>3</v>
      </c>
      <c r="AM211">
        <v>2</v>
      </c>
      <c r="AN211">
        <v>1</v>
      </c>
      <c r="AO211" t="s">
        <v>557</v>
      </c>
      <c r="AP211">
        <v>42.890067000000002</v>
      </c>
      <c r="AQ211" t="s">
        <v>558</v>
      </c>
      <c r="AR211">
        <v>-77.597616000000002</v>
      </c>
      <c r="AS211">
        <v>25</v>
      </c>
      <c r="AT211">
        <v>2500</v>
      </c>
      <c r="AU211" t="s">
        <v>123</v>
      </c>
      <c r="AV211">
        <v>91</v>
      </c>
      <c r="AW211">
        <v>186</v>
      </c>
      <c r="AX211">
        <v>-704</v>
      </c>
      <c r="AZ211">
        <f t="shared" si="36"/>
        <v>8281</v>
      </c>
      <c r="BA211">
        <f t="shared" si="37"/>
        <v>34596</v>
      </c>
      <c r="BB211" s="1">
        <f t="shared" si="38"/>
        <v>207.06762180505189</v>
      </c>
      <c r="BJ211">
        <v>1404</v>
      </c>
      <c r="BK211">
        <v>1</v>
      </c>
      <c r="BL211" t="str">
        <f t="shared" si="32"/>
        <v xml:space="preserve">N600C   </v>
      </c>
      <c r="BM211">
        <v>2</v>
      </c>
      <c r="BO211">
        <v>0</v>
      </c>
      <c r="BP211">
        <v>0</v>
      </c>
      <c r="BQ211">
        <v>0</v>
      </c>
      <c r="BR211">
        <v>2675</v>
      </c>
      <c r="BS211">
        <v>175</v>
      </c>
      <c r="BT211" t="s">
        <v>128</v>
      </c>
      <c r="BU211">
        <v>0</v>
      </c>
      <c r="BV211">
        <v>0</v>
      </c>
      <c r="BW211">
        <v>0</v>
      </c>
      <c r="BX211">
        <v>1</v>
      </c>
      <c r="CA211">
        <v>0</v>
      </c>
      <c r="CB211">
        <v>0</v>
      </c>
      <c r="CC211">
        <v>0</v>
      </c>
      <c r="CM211" t="str">
        <f>"17:43:58.796"</f>
        <v>17:43:58.796</v>
      </c>
      <c r="CN211">
        <v>796334439</v>
      </c>
      <c r="CQ211">
        <v>0</v>
      </c>
      <c r="CR211">
        <v>2496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3</v>
      </c>
      <c r="DB211">
        <v>2</v>
      </c>
      <c r="DC211">
        <v>0</v>
      </c>
      <c r="DD211">
        <v>2</v>
      </c>
      <c r="DE211">
        <v>0</v>
      </c>
      <c r="DF211">
        <v>7</v>
      </c>
      <c r="DG211">
        <v>7</v>
      </c>
      <c r="DH211" t="s">
        <v>124</v>
      </c>
      <c r="DI211">
        <v>71</v>
      </c>
      <c r="DJ211">
        <v>1</v>
      </c>
      <c r="DK211" t="s">
        <v>134</v>
      </c>
      <c r="DL211" t="s">
        <v>135</v>
      </c>
      <c r="DO211">
        <v>11407675</v>
      </c>
      <c r="DQ211">
        <v>0</v>
      </c>
      <c r="DR211">
        <v>0</v>
      </c>
      <c r="DS211">
        <v>1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</row>
    <row r="212" spans="1:131" x14ac:dyDescent="0.35">
      <c r="A212" s="2" t="str">
        <f>"17:44:00.068"</f>
        <v>17:44:00.068</v>
      </c>
      <c r="B212" s="4">
        <f t="shared" si="39"/>
        <v>63840.067999999999</v>
      </c>
      <c r="C212" s="4">
        <f t="shared" si="33"/>
        <v>240.0679999999993</v>
      </c>
      <c r="D212" s="3">
        <f t="shared" si="34"/>
        <v>0.73888967592592592</v>
      </c>
      <c r="E212" s="2">
        <f t="shared" si="35"/>
        <v>0.73888967592592592</v>
      </c>
      <c r="G212" t="str">
        <f t="shared" si="30"/>
        <v>FFDFD7C0</v>
      </c>
      <c r="H212" t="s">
        <v>126</v>
      </c>
      <c r="I212">
        <v>8</v>
      </c>
      <c r="J212">
        <v>1008</v>
      </c>
      <c r="K212" t="s">
        <v>129</v>
      </c>
      <c r="N212" t="s">
        <v>127</v>
      </c>
      <c r="O212">
        <v>0</v>
      </c>
      <c r="P212">
        <v>3</v>
      </c>
      <c r="Q212">
        <v>0</v>
      </c>
      <c r="R212">
        <v>2</v>
      </c>
      <c r="S212">
        <v>1</v>
      </c>
      <c r="T212">
        <v>0</v>
      </c>
      <c r="U212">
        <v>0</v>
      </c>
      <c r="W212" t="str">
        <f>"17:43:59.789"</f>
        <v>17:43:59.789</v>
      </c>
      <c r="X212" t="str">
        <f>"17:43:59.289"</f>
        <v>17:43:59.289</v>
      </c>
      <c r="Y212" t="str">
        <f t="shared" si="31"/>
        <v>A7C771</v>
      </c>
      <c r="Z212">
        <v>0</v>
      </c>
      <c r="AA212">
        <v>0</v>
      </c>
      <c r="AB212">
        <v>2</v>
      </c>
      <c r="AC212">
        <v>0</v>
      </c>
      <c r="AE212">
        <v>0</v>
      </c>
      <c r="AF212">
        <v>8</v>
      </c>
      <c r="AG212">
        <v>3</v>
      </c>
      <c r="AH212">
        <v>0</v>
      </c>
      <c r="AI212">
        <v>9</v>
      </c>
      <c r="AJ212" t="s">
        <v>125</v>
      </c>
      <c r="AK212">
        <v>0</v>
      </c>
      <c r="AL212">
        <v>3</v>
      </c>
      <c r="AM212">
        <v>2</v>
      </c>
      <c r="AN212">
        <v>1</v>
      </c>
      <c r="AO212" t="s">
        <v>559</v>
      </c>
      <c r="AP212">
        <v>42.890903999999999</v>
      </c>
      <c r="AQ212" t="s">
        <v>560</v>
      </c>
      <c r="AR212">
        <v>-77.597014999999999</v>
      </c>
      <c r="AS212">
        <v>25</v>
      </c>
      <c r="AT212">
        <v>2500</v>
      </c>
      <c r="AU212" t="s">
        <v>123</v>
      </c>
      <c r="AV212">
        <v>90</v>
      </c>
      <c r="AW212">
        <v>187</v>
      </c>
      <c r="AX212">
        <v>-640</v>
      </c>
      <c r="AZ212">
        <f t="shared" si="36"/>
        <v>8100</v>
      </c>
      <c r="BA212">
        <f t="shared" si="37"/>
        <v>34969</v>
      </c>
      <c r="BB212" s="1">
        <f t="shared" si="38"/>
        <v>207.53072061745462</v>
      </c>
      <c r="BJ212">
        <v>1404</v>
      </c>
      <c r="BK212">
        <v>1</v>
      </c>
      <c r="BL212" t="str">
        <f t="shared" si="32"/>
        <v xml:space="preserve">N600C   </v>
      </c>
      <c r="BM212">
        <v>2</v>
      </c>
      <c r="BO212">
        <v>0</v>
      </c>
      <c r="BP212">
        <v>0</v>
      </c>
      <c r="BQ212">
        <v>0</v>
      </c>
      <c r="BR212">
        <v>2675</v>
      </c>
      <c r="BS212">
        <v>175</v>
      </c>
      <c r="BT212" t="s">
        <v>128</v>
      </c>
      <c r="BU212">
        <v>0</v>
      </c>
      <c r="BV212">
        <v>0</v>
      </c>
      <c r="BW212">
        <v>0</v>
      </c>
      <c r="BX212">
        <v>1</v>
      </c>
      <c r="CA212">
        <v>0</v>
      </c>
      <c r="CB212">
        <v>0</v>
      </c>
      <c r="CC212">
        <v>0</v>
      </c>
      <c r="CM212" t="str">
        <f>"17:43:59.797"</f>
        <v>17:43:59.797</v>
      </c>
      <c r="CN212">
        <v>796537081</v>
      </c>
      <c r="CQ212">
        <v>0</v>
      </c>
      <c r="CR212">
        <v>2496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3</v>
      </c>
      <c r="DB212">
        <v>2</v>
      </c>
      <c r="DC212">
        <v>0</v>
      </c>
      <c r="DD212">
        <v>2</v>
      </c>
      <c r="DE212">
        <v>0</v>
      </c>
      <c r="DF212">
        <v>7</v>
      </c>
      <c r="DG212">
        <v>7</v>
      </c>
      <c r="DH212" t="s">
        <v>124</v>
      </c>
      <c r="DI212">
        <v>71</v>
      </c>
      <c r="DJ212">
        <v>1</v>
      </c>
      <c r="DK212" t="s">
        <v>134</v>
      </c>
      <c r="DL212" t="s">
        <v>135</v>
      </c>
      <c r="DO212">
        <v>11408565</v>
      </c>
      <c r="DQ212">
        <v>0</v>
      </c>
      <c r="DR212">
        <v>0</v>
      </c>
      <c r="DS212">
        <v>1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</row>
    <row r="213" spans="1:131" x14ac:dyDescent="0.35">
      <c r="A213" s="2" t="str">
        <f>"17:44:01.037"</f>
        <v>17:44:01.037</v>
      </c>
      <c r="B213" s="4">
        <f t="shared" si="39"/>
        <v>63841.036999999989</v>
      </c>
      <c r="C213" s="4">
        <f t="shared" si="33"/>
        <v>241.03699999998935</v>
      </c>
      <c r="D213" s="3">
        <f t="shared" si="34"/>
        <v>0.73890089120370361</v>
      </c>
      <c r="E213" s="2">
        <f t="shared" si="35"/>
        <v>0.73890089120370361</v>
      </c>
      <c r="G213" t="str">
        <f t="shared" si="30"/>
        <v>FFDFD7C0</v>
      </c>
      <c r="H213" t="s">
        <v>126</v>
      </c>
      <c r="I213">
        <v>8</v>
      </c>
      <c r="J213">
        <v>1008</v>
      </c>
      <c r="K213" t="s">
        <v>129</v>
      </c>
      <c r="N213" t="s">
        <v>127</v>
      </c>
      <c r="O213">
        <v>0</v>
      </c>
      <c r="P213">
        <v>3</v>
      </c>
      <c r="Q213">
        <v>0</v>
      </c>
      <c r="R213">
        <v>2</v>
      </c>
      <c r="S213">
        <v>1</v>
      </c>
      <c r="T213">
        <v>0</v>
      </c>
      <c r="U213">
        <v>0</v>
      </c>
      <c r="W213" t="str">
        <f>"17:44:00.828"</f>
        <v>17:44:00.828</v>
      </c>
      <c r="X213" t="str">
        <f>"17:44:00.528"</f>
        <v>17:44:00.528</v>
      </c>
      <c r="Y213" t="str">
        <f t="shared" si="31"/>
        <v>A7C771</v>
      </c>
      <c r="Z213">
        <v>0</v>
      </c>
      <c r="AA213">
        <v>0</v>
      </c>
      <c r="AB213">
        <v>2</v>
      </c>
      <c r="AC213">
        <v>0</v>
      </c>
      <c r="AE213">
        <v>0</v>
      </c>
      <c r="AF213">
        <v>8</v>
      </c>
      <c r="AG213">
        <v>3</v>
      </c>
      <c r="AH213">
        <v>0</v>
      </c>
      <c r="AI213">
        <v>9</v>
      </c>
      <c r="AJ213" t="s">
        <v>125</v>
      </c>
      <c r="AK213">
        <v>0</v>
      </c>
      <c r="AL213">
        <v>3</v>
      </c>
      <c r="AM213">
        <v>2</v>
      </c>
      <c r="AN213">
        <v>1</v>
      </c>
      <c r="AO213" t="s">
        <v>561</v>
      </c>
      <c r="AP213">
        <v>42.891784000000001</v>
      </c>
      <c r="AQ213" t="s">
        <v>562</v>
      </c>
      <c r="AR213">
        <v>-77.596500000000006</v>
      </c>
      <c r="AS213">
        <v>25</v>
      </c>
      <c r="AT213">
        <v>2475</v>
      </c>
      <c r="AU213" t="s">
        <v>123</v>
      </c>
      <c r="AV213">
        <v>88</v>
      </c>
      <c r="AW213">
        <v>187</v>
      </c>
      <c r="AX213">
        <v>-640</v>
      </c>
      <c r="AZ213">
        <f t="shared" si="36"/>
        <v>7744</v>
      </c>
      <c r="BA213">
        <f t="shared" si="37"/>
        <v>34969</v>
      </c>
      <c r="BB213" s="1">
        <f t="shared" si="38"/>
        <v>206.67123650861529</v>
      </c>
      <c r="BJ213">
        <v>1404</v>
      </c>
      <c r="BK213">
        <v>1</v>
      </c>
      <c r="BL213" t="str">
        <f t="shared" si="32"/>
        <v xml:space="preserve">N600C   </v>
      </c>
      <c r="BM213">
        <v>2</v>
      </c>
      <c r="BO213">
        <v>0</v>
      </c>
      <c r="BP213">
        <v>0</v>
      </c>
      <c r="BQ213">
        <v>0</v>
      </c>
      <c r="BR213">
        <v>2650</v>
      </c>
      <c r="BS213">
        <v>175</v>
      </c>
      <c r="BT213" t="s">
        <v>128</v>
      </c>
      <c r="BU213">
        <v>0</v>
      </c>
      <c r="BV213">
        <v>0</v>
      </c>
      <c r="BW213">
        <v>0</v>
      </c>
      <c r="BX213">
        <v>1</v>
      </c>
      <c r="CA213">
        <v>0</v>
      </c>
      <c r="CB213">
        <v>0</v>
      </c>
      <c r="CC213">
        <v>0</v>
      </c>
      <c r="CM213" t="str">
        <f>"17:44:00.829"</f>
        <v>17:44:00.829</v>
      </c>
      <c r="CN213">
        <v>828708457</v>
      </c>
      <c r="CQ213">
        <v>0</v>
      </c>
      <c r="CR213">
        <v>2496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3</v>
      </c>
      <c r="DB213">
        <v>2</v>
      </c>
      <c r="DC213">
        <v>0</v>
      </c>
      <c r="DD213">
        <v>2</v>
      </c>
      <c r="DE213">
        <v>0</v>
      </c>
      <c r="DF213">
        <v>7</v>
      </c>
      <c r="DG213">
        <v>7</v>
      </c>
      <c r="DH213" t="s">
        <v>124</v>
      </c>
      <c r="DI213">
        <v>71</v>
      </c>
      <c r="DJ213">
        <v>1</v>
      </c>
      <c r="DK213" t="s">
        <v>134</v>
      </c>
      <c r="DL213" t="s">
        <v>135</v>
      </c>
      <c r="DO213">
        <v>11409473</v>
      </c>
      <c r="DQ213">
        <v>0</v>
      </c>
      <c r="DR213">
        <v>0</v>
      </c>
      <c r="DS213">
        <v>1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</row>
    <row r="214" spans="1:131" x14ac:dyDescent="0.35">
      <c r="A214" s="2" t="str">
        <f>"17:44:01.933"</f>
        <v>17:44:01.933</v>
      </c>
      <c r="B214" s="4">
        <f t="shared" si="39"/>
        <v>63841.932999999997</v>
      </c>
      <c r="C214" s="4">
        <f t="shared" si="33"/>
        <v>241.93299999999726</v>
      </c>
      <c r="D214" s="3">
        <f t="shared" si="34"/>
        <v>0.73891126157407405</v>
      </c>
      <c r="E214" s="2">
        <f t="shared" si="35"/>
        <v>0.73891126157407405</v>
      </c>
      <c r="G214" t="str">
        <f t="shared" si="30"/>
        <v>FFDFD7C0</v>
      </c>
      <c r="H214" t="s">
        <v>126</v>
      </c>
      <c r="I214">
        <v>8</v>
      </c>
      <c r="J214">
        <v>1008</v>
      </c>
      <c r="K214" t="s">
        <v>129</v>
      </c>
      <c r="N214" t="s">
        <v>127</v>
      </c>
      <c r="O214">
        <v>0</v>
      </c>
      <c r="P214">
        <v>3</v>
      </c>
      <c r="Q214">
        <v>0</v>
      </c>
      <c r="R214">
        <v>2</v>
      </c>
      <c r="S214">
        <v>1</v>
      </c>
      <c r="T214">
        <v>0</v>
      </c>
      <c r="U214">
        <v>0</v>
      </c>
      <c r="W214" t="str">
        <f>"17:44:01.672"</f>
        <v>17:44:01.672</v>
      </c>
      <c r="X214" t="str">
        <f>"17:44:01.472"</f>
        <v>17:44:01.472</v>
      </c>
      <c r="Y214" t="str">
        <f t="shared" si="31"/>
        <v>A7C771</v>
      </c>
      <c r="Z214">
        <v>0</v>
      </c>
      <c r="AA214">
        <v>0</v>
      </c>
      <c r="AB214">
        <v>2</v>
      </c>
      <c r="AC214">
        <v>0</v>
      </c>
      <c r="AE214">
        <v>0</v>
      </c>
      <c r="AF214">
        <v>8</v>
      </c>
      <c r="AG214">
        <v>3</v>
      </c>
      <c r="AH214">
        <v>0</v>
      </c>
      <c r="AI214">
        <v>9</v>
      </c>
      <c r="AJ214" t="s">
        <v>125</v>
      </c>
      <c r="AK214">
        <v>0</v>
      </c>
      <c r="AL214">
        <v>3</v>
      </c>
      <c r="AM214">
        <v>2</v>
      </c>
      <c r="AN214">
        <v>1</v>
      </c>
      <c r="AO214" t="s">
        <v>563</v>
      </c>
      <c r="AP214">
        <v>42.892598999999997</v>
      </c>
      <c r="AQ214" t="s">
        <v>564</v>
      </c>
      <c r="AR214">
        <v>-77.595984999999999</v>
      </c>
      <c r="AS214">
        <v>25</v>
      </c>
      <c r="AT214">
        <v>2475</v>
      </c>
      <c r="AU214" t="s">
        <v>123</v>
      </c>
      <c r="AV214">
        <v>87</v>
      </c>
      <c r="AW214">
        <v>188</v>
      </c>
      <c r="AX214">
        <v>-640</v>
      </c>
      <c r="AZ214">
        <f t="shared" si="36"/>
        <v>7569</v>
      </c>
      <c r="BA214">
        <f t="shared" si="37"/>
        <v>35344</v>
      </c>
      <c r="BB214" s="1">
        <f t="shared" si="38"/>
        <v>207.15453169071634</v>
      </c>
      <c r="BJ214">
        <v>1404</v>
      </c>
      <c r="BK214">
        <v>1</v>
      </c>
      <c r="BL214" t="str">
        <f t="shared" si="32"/>
        <v xml:space="preserve">N600C   </v>
      </c>
      <c r="BM214">
        <v>2</v>
      </c>
      <c r="BO214">
        <v>0</v>
      </c>
      <c r="BP214">
        <v>0</v>
      </c>
      <c r="BQ214">
        <v>0</v>
      </c>
      <c r="BR214">
        <v>2650</v>
      </c>
      <c r="BS214">
        <v>175</v>
      </c>
      <c r="BT214" t="s">
        <v>128</v>
      </c>
      <c r="BU214">
        <v>0</v>
      </c>
      <c r="BV214">
        <v>0</v>
      </c>
      <c r="BW214">
        <v>0</v>
      </c>
      <c r="BX214">
        <v>1</v>
      </c>
      <c r="CA214">
        <v>0</v>
      </c>
      <c r="CB214">
        <v>0</v>
      </c>
      <c r="CC214">
        <v>0</v>
      </c>
      <c r="CM214" t="str">
        <f>"17:44:01.677"</f>
        <v>17:44:01.677</v>
      </c>
      <c r="CN214">
        <v>676859172</v>
      </c>
      <c r="CQ214">
        <v>0</v>
      </c>
      <c r="CR214">
        <v>2496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3</v>
      </c>
      <c r="DB214">
        <v>2</v>
      </c>
      <c r="DC214">
        <v>0</v>
      </c>
      <c r="DD214">
        <v>2</v>
      </c>
      <c r="DE214">
        <v>0</v>
      </c>
      <c r="DF214">
        <v>7</v>
      </c>
      <c r="DG214">
        <v>7</v>
      </c>
      <c r="DH214" t="s">
        <v>124</v>
      </c>
      <c r="DI214">
        <v>71</v>
      </c>
      <c r="DJ214">
        <v>1</v>
      </c>
      <c r="DK214" t="s">
        <v>134</v>
      </c>
      <c r="DL214" t="s">
        <v>135</v>
      </c>
      <c r="DO214">
        <v>11410278</v>
      </c>
      <c r="DQ214">
        <v>0</v>
      </c>
      <c r="DR214">
        <v>0</v>
      </c>
      <c r="DS214">
        <v>1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</row>
    <row r="215" spans="1:131" x14ac:dyDescent="0.35">
      <c r="A215" s="2" t="str">
        <f>"17:44:02.965"</f>
        <v>17:44:02.965</v>
      </c>
      <c r="B215" s="4">
        <f t="shared" si="39"/>
        <v>63842.964999999997</v>
      </c>
      <c r="C215" s="4">
        <f t="shared" si="33"/>
        <v>242.96499999999651</v>
      </c>
      <c r="D215" s="3">
        <f t="shared" si="34"/>
        <v>0.73892320601851846</v>
      </c>
      <c r="E215" s="2">
        <f t="shared" si="35"/>
        <v>0.73892320601851846</v>
      </c>
      <c r="G215" t="str">
        <f t="shared" si="30"/>
        <v>FFDFD7C0</v>
      </c>
      <c r="H215" t="s">
        <v>126</v>
      </c>
      <c r="I215">
        <v>8</v>
      </c>
      <c r="J215">
        <v>1008</v>
      </c>
      <c r="K215" t="s">
        <v>129</v>
      </c>
      <c r="N215" t="s">
        <v>127</v>
      </c>
      <c r="O215">
        <v>0</v>
      </c>
      <c r="P215">
        <v>3</v>
      </c>
      <c r="Q215">
        <v>0</v>
      </c>
      <c r="R215">
        <v>2</v>
      </c>
      <c r="S215">
        <v>1</v>
      </c>
      <c r="T215">
        <v>0</v>
      </c>
      <c r="U215">
        <v>0</v>
      </c>
      <c r="W215" t="str">
        <f>"17:44:02.695"</f>
        <v>17:44:02.695</v>
      </c>
      <c r="X215" t="str">
        <f>"17:44:02.495"</f>
        <v>17:44:02.495</v>
      </c>
      <c r="Y215" t="str">
        <f t="shared" si="31"/>
        <v>A7C771</v>
      </c>
      <c r="Z215">
        <v>0</v>
      </c>
      <c r="AA215">
        <v>0</v>
      </c>
      <c r="AB215">
        <v>2</v>
      </c>
      <c r="AC215">
        <v>0</v>
      </c>
      <c r="AE215">
        <v>0</v>
      </c>
      <c r="AF215">
        <v>8</v>
      </c>
      <c r="AG215">
        <v>3</v>
      </c>
      <c r="AH215">
        <v>0</v>
      </c>
      <c r="AI215">
        <v>9</v>
      </c>
      <c r="AJ215" t="s">
        <v>125</v>
      </c>
      <c r="AK215">
        <v>0</v>
      </c>
      <c r="AL215">
        <v>3</v>
      </c>
      <c r="AM215">
        <v>2</v>
      </c>
      <c r="AN215">
        <v>1</v>
      </c>
      <c r="AO215" t="s">
        <v>565</v>
      </c>
      <c r="AP215">
        <v>42.893456999999998</v>
      </c>
      <c r="AQ215" t="s">
        <v>566</v>
      </c>
      <c r="AR215">
        <v>-77.595470000000006</v>
      </c>
      <c r="AS215">
        <v>25</v>
      </c>
      <c r="AT215">
        <v>2450</v>
      </c>
      <c r="AU215" t="s">
        <v>123</v>
      </c>
      <c r="AV215">
        <v>87</v>
      </c>
      <c r="AW215">
        <v>188</v>
      </c>
      <c r="AX215">
        <v>-576</v>
      </c>
      <c r="AZ215">
        <f t="shared" si="36"/>
        <v>7569</v>
      </c>
      <c r="BA215">
        <f t="shared" si="37"/>
        <v>35344</v>
      </c>
      <c r="BB215" s="1">
        <f t="shared" si="38"/>
        <v>207.15453169071634</v>
      </c>
      <c r="BJ215">
        <v>1404</v>
      </c>
      <c r="BK215">
        <v>1</v>
      </c>
      <c r="BL215" t="str">
        <f t="shared" si="32"/>
        <v xml:space="preserve">N600C   </v>
      </c>
      <c r="BM215">
        <v>2</v>
      </c>
      <c r="BO215">
        <v>0</v>
      </c>
      <c r="BP215">
        <v>0</v>
      </c>
      <c r="BQ215">
        <v>0</v>
      </c>
      <c r="BR215">
        <v>2625</v>
      </c>
      <c r="BS215">
        <v>175</v>
      </c>
      <c r="BT215" t="s">
        <v>128</v>
      </c>
      <c r="BU215">
        <v>0</v>
      </c>
      <c r="BV215">
        <v>0</v>
      </c>
      <c r="BW215">
        <v>0</v>
      </c>
      <c r="BX215">
        <v>1</v>
      </c>
      <c r="CA215">
        <v>0</v>
      </c>
      <c r="CB215">
        <v>0</v>
      </c>
      <c r="CC215">
        <v>0</v>
      </c>
      <c r="CM215" t="str">
        <f>"17:44:02.701"</f>
        <v>17:44:02.701</v>
      </c>
      <c r="CN215">
        <v>701051778</v>
      </c>
      <c r="CQ215">
        <v>0</v>
      </c>
      <c r="CR215">
        <v>2496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3</v>
      </c>
      <c r="DB215">
        <v>2</v>
      </c>
      <c r="DC215">
        <v>0</v>
      </c>
      <c r="DD215">
        <v>2</v>
      </c>
      <c r="DE215">
        <v>0</v>
      </c>
      <c r="DF215">
        <v>7</v>
      </c>
      <c r="DG215">
        <v>7</v>
      </c>
      <c r="DH215" t="s">
        <v>124</v>
      </c>
      <c r="DI215">
        <v>71</v>
      </c>
      <c r="DJ215">
        <v>1</v>
      </c>
      <c r="DK215" t="s">
        <v>134</v>
      </c>
      <c r="DL215" t="s">
        <v>135</v>
      </c>
      <c r="DO215">
        <v>11411207</v>
      </c>
      <c r="DQ215">
        <v>0</v>
      </c>
      <c r="DR215">
        <v>0</v>
      </c>
      <c r="DS215">
        <v>1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</row>
    <row r="216" spans="1:131" x14ac:dyDescent="0.35">
      <c r="A216" s="2" t="str">
        <f>"17:44:04.177"</f>
        <v>17:44:04.177</v>
      </c>
      <c r="B216" s="4">
        <f t="shared" si="39"/>
        <v>63844.177000000011</v>
      </c>
      <c r="C216" s="4">
        <f t="shared" si="33"/>
        <v>244.17700000001059</v>
      </c>
      <c r="D216" s="3">
        <f t="shared" si="34"/>
        <v>0.73893723379629639</v>
      </c>
      <c r="E216" s="2">
        <f t="shared" si="35"/>
        <v>0.73893723379629639</v>
      </c>
      <c r="G216" t="str">
        <f t="shared" si="30"/>
        <v>FFDFD7C0</v>
      </c>
      <c r="H216" t="s">
        <v>126</v>
      </c>
      <c r="I216">
        <v>8</v>
      </c>
      <c r="J216">
        <v>1008</v>
      </c>
      <c r="K216" t="s">
        <v>129</v>
      </c>
      <c r="N216" t="s">
        <v>127</v>
      </c>
      <c r="O216">
        <v>0</v>
      </c>
      <c r="P216">
        <v>3</v>
      </c>
      <c r="Q216">
        <v>0</v>
      </c>
      <c r="R216">
        <v>2</v>
      </c>
      <c r="S216">
        <v>1</v>
      </c>
      <c r="T216">
        <v>0</v>
      </c>
      <c r="U216">
        <v>0</v>
      </c>
      <c r="W216" t="str">
        <f>"17:44:03.844"</f>
        <v>17:44:03.844</v>
      </c>
      <c r="X216" t="str">
        <f>"17:44:03.444"</f>
        <v>17:44:03.444</v>
      </c>
      <c r="Y216" t="str">
        <f t="shared" si="31"/>
        <v>A7C771</v>
      </c>
      <c r="Z216">
        <v>0</v>
      </c>
      <c r="AA216">
        <v>0</v>
      </c>
      <c r="AB216">
        <v>2</v>
      </c>
      <c r="AC216">
        <v>0</v>
      </c>
      <c r="AE216">
        <v>0</v>
      </c>
      <c r="AF216">
        <v>8</v>
      </c>
      <c r="AG216">
        <v>3</v>
      </c>
      <c r="AH216">
        <v>0</v>
      </c>
      <c r="AI216">
        <v>9</v>
      </c>
      <c r="AJ216" t="s">
        <v>125</v>
      </c>
      <c r="AK216">
        <v>0</v>
      </c>
      <c r="AL216">
        <v>3</v>
      </c>
      <c r="AM216">
        <v>2</v>
      </c>
      <c r="AN216">
        <v>1</v>
      </c>
      <c r="AO216" t="s">
        <v>567</v>
      </c>
      <c r="AP216">
        <v>42.894401999999999</v>
      </c>
      <c r="AQ216" t="s">
        <v>568</v>
      </c>
      <c r="AR216">
        <v>-77.594869000000003</v>
      </c>
      <c r="AS216">
        <v>25</v>
      </c>
      <c r="AT216">
        <v>2450</v>
      </c>
      <c r="AU216" t="s">
        <v>123</v>
      </c>
      <c r="AV216">
        <v>86</v>
      </c>
      <c r="AW216">
        <v>188</v>
      </c>
      <c r="AX216">
        <v>-576</v>
      </c>
      <c r="AZ216">
        <f t="shared" si="36"/>
        <v>7396</v>
      </c>
      <c r="BA216">
        <f t="shared" si="37"/>
        <v>35344</v>
      </c>
      <c r="BB216" s="1">
        <f t="shared" si="38"/>
        <v>206.73654732533385</v>
      </c>
      <c r="BJ216">
        <v>1404</v>
      </c>
      <c r="BK216">
        <v>1</v>
      </c>
      <c r="BL216" t="str">
        <f t="shared" si="32"/>
        <v xml:space="preserve">N600C   </v>
      </c>
      <c r="BM216">
        <v>2</v>
      </c>
      <c r="BO216">
        <v>0</v>
      </c>
      <c r="BP216">
        <v>0</v>
      </c>
      <c r="BQ216">
        <v>0</v>
      </c>
      <c r="BR216">
        <v>2625</v>
      </c>
      <c r="BS216">
        <v>175</v>
      </c>
      <c r="BT216" t="s">
        <v>128</v>
      </c>
      <c r="BU216">
        <v>0</v>
      </c>
      <c r="BV216">
        <v>0</v>
      </c>
      <c r="BW216">
        <v>0</v>
      </c>
      <c r="BX216">
        <v>1</v>
      </c>
      <c r="CA216">
        <v>0</v>
      </c>
      <c r="CB216">
        <v>0</v>
      </c>
      <c r="CC216">
        <v>0</v>
      </c>
      <c r="CM216" t="str">
        <f>"17:44:03.845"</f>
        <v>17:44:03.845</v>
      </c>
      <c r="CN216">
        <v>845262617</v>
      </c>
      <c r="CQ216">
        <v>0</v>
      </c>
      <c r="CR216">
        <v>2496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3</v>
      </c>
      <c r="DB216">
        <v>2</v>
      </c>
      <c r="DC216">
        <v>0</v>
      </c>
      <c r="DD216">
        <v>2</v>
      </c>
      <c r="DE216">
        <v>0</v>
      </c>
      <c r="DF216">
        <v>7</v>
      </c>
      <c r="DG216">
        <v>7</v>
      </c>
      <c r="DH216" t="s">
        <v>124</v>
      </c>
      <c r="DI216">
        <v>71</v>
      </c>
      <c r="DJ216">
        <v>1</v>
      </c>
      <c r="DK216" t="s">
        <v>134</v>
      </c>
      <c r="DL216" t="s">
        <v>135</v>
      </c>
      <c r="DO216">
        <v>11412359</v>
      </c>
      <c r="DQ216">
        <v>0</v>
      </c>
      <c r="DR216">
        <v>0</v>
      </c>
      <c r="DS216">
        <v>1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</row>
    <row r="217" spans="1:131" x14ac:dyDescent="0.35">
      <c r="A217" s="2" t="str">
        <f>"17:44:06.494"</f>
        <v>17:44:06.494</v>
      </c>
      <c r="B217" s="4">
        <f t="shared" si="39"/>
        <v>63846.493999999999</v>
      </c>
      <c r="C217" s="4">
        <f t="shared" si="33"/>
        <v>246.49399999999878</v>
      </c>
      <c r="D217" s="3">
        <f t="shared" si="34"/>
        <v>0.73896405092592587</v>
      </c>
      <c r="E217" s="2">
        <f t="shared" si="35"/>
        <v>0.73896405092592587</v>
      </c>
      <c r="G217" t="str">
        <f t="shared" si="30"/>
        <v>FFDFD7C0</v>
      </c>
      <c r="H217" t="s">
        <v>126</v>
      </c>
      <c r="I217">
        <v>8</v>
      </c>
      <c r="J217">
        <v>1008</v>
      </c>
      <c r="K217" t="s">
        <v>129</v>
      </c>
      <c r="N217" t="s">
        <v>127</v>
      </c>
      <c r="O217">
        <v>0</v>
      </c>
      <c r="P217">
        <v>3</v>
      </c>
      <c r="Q217">
        <v>0</v>
      </c>
      <c r="R217">
        <v>2</v>
      </c>
      <c r="S217">
        <v>1</v>
      </c>
      <c r="T217">
        <v>0</v>
      </c>
      <c r="U217">
        <v>0</v>
      </c>
      <c r="W217" t="str">
        <f>"17:44:05.961"</f>
        <v>17:44:05.961</v>
      </c>
      <c r="X217" t="str">
        <f>"17:44:05.761"</f>
        <v>17:44:05.761</v>
      </c>
      <c r="Y217" t="str">
        <f t="shared" si="31"/>
        <v>A7C771</v>
      </c>
      <c r="Z217">
        <v>0</v>
      </c>
      <c r="AA217">
        <v>0</v>
      </c>
      <c r="AB217">
        <v>2</v>
      </c>
      <c r="AC217">
        <v>0</v>
      </c>
      <c r="AE217">
        <v>0</v>
      </c>
      <c r="AF217">
        <v>8</v>
      </c>
      <c r="AG217">
        <v>3</v>
      </c>
      <c r="AH217">
        <v>0</v>
      </c>
      <c r="AI217">
        <v>9</v>
      </c>
      <c r="AJ217" t="s">
        <v>125</v>
      </c>
      <c r="AK217">
        <v>0</v>
      </c>
      <c r="AL217">
        <v>3</v>
      </c>
      <c r="AM217">
        <v>2</v>
      </c>
      <c r="AN217">
        <v>1</v>
      </c>
      <c r="AO217" t="s">
        <v>569</v>
      </c>
      <c r="AP217">
        <v>42.896247000000002</v>
      </c>
      <c r="AQ217" t="s">
        <v>570</v>
      </c>
      <c r="AR217">
        <v>-77.593817999999999</v>
      </c>
      <c r="AS217">
        <v>25</v>
      </c>
      <c r="AT217">
        <v>2425</v>
      </c>
      <c r="AU217" t="s">
        <v>123</v>
      </c>
      <c r="AV217">
        <v>82</v>
      </c>
      <c r="AW217">
        <v>189</v>
      </c>
      <c r="AX217">
        <v>-256</v>
      </c>
      <c r="AZ217">
        <f t="shared" si="36"/>
        <v>6724</v>
      </c>
      <c r="BA217">
        <f t="shared" si="37"/>
        <v>35721</v>
      </c>
      <c r="BB217" s="1">
        <f t="shared" si="38"/>
        <v>206.0218435020908</v>
      </c>
      <c r="BJ217">
        <v>1404</v>
      </c>
      <c r="BK217">
        <v>1</v>
      </c>
      <c r="BL217" t="str">
        <f t="shared" si="32"/>
        <v xml:space="preserve">N600C   </v>
      </c>
      <c r="BM217">
        <v>2</v>
      </c>
      <c r="BO217">
        <v>0</v>
      </c>
      <c r="BP217">
        <v>0</v>
      </c>
      <c r="BQ217">
        <v>0</v>
      </c>
      <c r="BR217">
        <v>2600</v>
      </c>
      <c r="BS217">
        <v>175</v>
      </c>
      <c r="BT217" t="s">
        <v>128</v>
      </c>
      <c r="BU217">
        <v>0</v>
      </c>
      <c r="BV217">
        <v>0</v>
      </c>
      <c r="BW217">
        <v>0</v>
      </c>
      <c r="BX217">
        <v>1</v>
      </c>
      <c r="CA217">
        <v>0</v>
      </c>
      <c r="CB217">
        <v>0</v>
      </c>
      <c r="CC217">
        <v>0</v>
      </c>
      <c r="CM217" t="str">
        <f>"17:44:05.966"</f>
        <v>17:44:05.966</v>
      </c>
      <c r="CN217">
        <v>965657799</v>
      </c>
      <c r="CQ217">
        <v>0</v>
      </c>
      <c r="CR217">
        <v>2496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3</v>
      </c>
      <c r="DB217">
        <v>2</v>
      </c>
      <c r="DC217">
        <v>0</v>
      </c>
      <c r="DD217">
        <v>2</v>
      </c>
      <c r="DE217">
        <v>0</v>
      </c>
      <c r="DF217">
        <v>7</v>
      </c>
      <c r="DG217">
        <v>7</v>
      </c>
      <c r="DH217" t="s">
        <v>124</v>
      </c>
      <c r="DI217">
        <v>71</v>
      </c>
      <c r="DJ217">
        <v>1</v>
      </c>
      <c r="DK217" t="s">
        <v>134</v>
      </c>
      <c r="DL217" t="s">
        <v>135</v>
      </c>
      <c r="DO217">
        <v>11414150</v>
      </c>
      <c r="DQ217">
        <v>0</v>
      </c>
      <c r="DR217">
        <v>0</v>
      </c>
      <c r="DS217">
        <v>1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</row>
    <row r="218" spans="1:131" x14ac:dyDescent="0.35">
      <c r="A218" s="2" t="str">
        <f>"17:44:07.306"</f>
        <v>17:44:07.306</v>
      </c>
      <c r="B218" s="4">
        <f t="shared" si="39"/>
        <v>63847.305999999997</v>
      </c>
      <c r="C218" s="4">
        <f t="shared" si="33"/>
        <v>247.30599999999686</v>
      </c>
      <c r="D218" s="3">
        <f t="shared" si="34"/>
        <v>0.73897344907407403</v>
      </c>
      <c r="E218" s="2">
        <f t="shared" si="35"/>
        <v>0.73897344907407403</v>
      </c>
      <c r="G218" t="str">
        <f t="shared" si="30"/>
        <v>FFDFD7C0</v>
      </c>
      <c r="H218" t="s">
        <v>126</v>
      </c>
      <c r="I218">
        <v>8</v>
      </c>
      <c r="J218">
        <v>1008</v>
      </c>
      <c r="K218" t="s">
        <v>129</v>
      </c>
      <c r="N218" t="s">
        <v>127</v>
      </c>
      <c r="O218">
        <v>0</v>
      </c>
      <c r="P218">
        <v>3</v>
      </c>
      <c r="Q218">
        <v>0</v>
      </c>
      <c r="R218">
        <v>2</v>
      </c>
      <c r="S218">
        <v>1</v>
      </c>
      <c r="T218">
        <v>0</v>
      </c>
      <c r="U218">
        <v>0</v>
      </c>
      <c r="W218" t="str">
        <f>"17:44:07.063"</f>
        <v>17:44:07.063</v>
      </c>
      <c r="X218" t="str">
        <f>"17:44:06.963"</f>
        <v>17:44:06.963</v>
      </c>
      <c r="Y218" t="str">
        <f t="shared" si="31"/>
        <v>A7C771</v>
      </c>
      <c r="Z218">
        <v>0</v>
      </c>
      <c r="AA218">
        <v>0</v>
      </c>
      <c r="AB218">
        <v>2</v>
      </c>
      <c r="AC218">
        <v>0</v>
      </c>
      <c r="AE218">
        <v>0</v>
      </c>
      <c r="AF218">
        <v>8</v>
      </c>
      <c r="AG218">
        <v>3</v>
      </c>
      <c r="AH218">
        <v>0</v>
      </c>
      <c r="AI218">
        <v>9</v>
      </c>
      <c r="AJ218" t="s">
        <v>125</v>
      </c>
      <c r="AK218">
        <v>0</v>
      </c>
      <c r="AL218">
        <v>3</v>
      </c>
      <c r="AM218">
        <v>2</v>
      </c>
      <c r="AN218">
        <v>1</v>
      </c>
      <c r="AO218" t="s">
        <v>571</v>
      </c>
      <c r="AP218">
        <v>42.897233999999997</v>
      </c>
      <c r="AQ218" t="s">
        <v>572</v>
      </c>
      <c r="AR218">
        <v>-77.593237999999999</v>
      </c>
      <c r="AS218">
        <v>25</v>
      </c>
      <c r="AT218">
        <v>2425</v>
      </c>
      <c r="AU218" t="s">
        <v>123</v>
      </c>
      <c r="AV218">
        <v>81</v>
      </c>
      <c r="AW218">
        <v>189</v>
      </c>
      <c r="AX218">
        <v>-192</v>
      </c>
      <c r="AZ218">
        <f t="shared" si="36"/>
        <v>6561</v>
      </c>
      <c r="BA218">
        <f t="shared" si="37"/>
        <v>35721</v>
      </c>
      <c r="BB218" s="1">
        <f t="shared" si="38"/>
        <v>205.62587385832552</v>
      </c>
      <c r="BJ218">
        <v>1404</v>
      </c>
      <c r="BK218">
        <v>1</v>
      </c>
      <c r="BL218" t="str">
        <f t="shared" si="32"/>
        <v xml:space="preserve">N600C   </v>
      </c>
      <c r="BM218">
        <v>2</v>
      </c>
      <c r="BO218">
        <v>0</v>
      </c>
      <c r="BP218">
        <v>0</v>
      </c>
      <c r="BQ218">
        <v>0</v>
      </c>
      <c r="BR218">
        <v>2600</v>
      </c>
      <c r="BS218">
        <v>175</v>
      </c>
      <c r="BT218" t="s">
        <v>128</v>
      </c>
      <c r="BU218">
        <v>0</v>
      </c>
      <c r="BV218">
        <v>0</v>
      </c>
      <c r="BW218">
        <v>0</v>
      </c>
      <c r="BX218">
        <v>1</v>
      </c>
      <c r="CA218">
        <v>0</v>
      </c>
      <c r="CB218">
        <v>0</v>
      </c>
      <c r="CC218">
        <v>0</v>
      </c>
      <c r="CM218" t="str">
        <f>"17:44:07.070"</f>
        <v>17:44:07.070</v>
      </c>
      <c r="CN218">
        <v>69865591</v>
      </c>
      <c r="CQ218">
        <v>0</v>
      </c>
      <c r="CR218">
        <v>2496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3</v>
      </c>
      <c r="DB218">
        <v>2</v>
      </c>
      <c r="DC218">
        <v>0</v>
      </c>
      <c r="DD218">
        <v>2</v>
      </c>
      <c r="DE218">
        <v>0</v>
      </c>
      <c r="DF218">
        <v>7</v>
      </c>
      <c r="DG218">
        <v>7</v>
      </c>
      <c r="DH218" t="s">
        <v>124</v>
      </c>
      <c r="DI218">
        <v>71</v>
      </c>
      <c r="DJ218">
        <v>1</v>
      </c>
      <c r="DK218" t="s">
        <v>134</v>
      </c>
      <c r="DL218" t="s">
        <v>135</v>
      </c>
      <c r="DO218">
        <v>11415131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</row>
    <row r="219" spans="1:131" x14ac:dyDescent="0.35">
      <c r="A219" s="2" t="str">
        <f>"17:44:08.451"</f>
        <v>17:44:08.451</v>
      </c>
      <c r="B219" s="4">
        <f t="shared" si="39"/>
        <v>63848.451000000001</v>
      </c>
      <c r="C219" s="4">
        <f t="shared" si="33"/>
        <v>248.45100000000093</v>
      </c>
      <c r="D219" s="3">
        <f t="shared" si="34"/>
        <v>0.73898670138888889</v>
      </c>
      <c r="E219" s="2">
        <f t="shared" si="35"/>
        <v>0.73898670138888889</v>
      </c>
      <c r="G219" t="str">
        <f t="shared" si="30"/>
        <v>FFDFD7C0</v>
      </c>
      <c r="H219" t="s">
        <v>126</v>
      </c>
      <c r="I219">
        <v>8</v>
      </c>
      <c r="J219">
        <v>1008</v>
      </c>
      <c r="K219" t="s">
        <v>129</v>
      </c>
      <c r="N219" t="s">
        <v>127</v>
      </c>
      <c r="O219">
        <v>0</v>
      </c>
      <c r="P219">
        <v>3</v>
      </c>
      <c r="Q219">
        <v>0</v>
      </c>
      <c r="R219">
        <v>2</v>
      </c>
      <c r="S219">
        <v>1</v>
      </c>
      <c r="T219">
        <v>0</v>
      </c>
      <c r="U219">
        <v>0</v>
      </c>
      <c r="W219" t="str">
        <f>"17:44:08.141"</f>
        <v>17:44:08.141</v>
      </c>
      <c r="X219" t="str">
        <f>"17:44:07.841"</f>
        <v>17:44:07.841</v>
      </c>
      <c r="Y219" t="str">
        <f t="shared" si="31"/>
        <v>A7C771</v>
      </c>
      <c r="Z219">
        <v>0</v>
      </c>
      <c r="AA219">
        <v>0</v>
      </c>
      <c r="AB219">
        <v>2</v>
      </c>
      <c r="AC219">
        <v>0</v>
      </c>
      <c r="AE219">
        <v>0</v>
      </c>
      <c r="AF219">
        <v>8</v>
      </c>
      <c r="AG219">
        <v>3</v>
      </c>
      <c r="AH219">
        <v>0</v>
      </c>
      <c r="AI219">
        <v>9</v>
      </c>
      <c r="AJ219" t="s">
        <v>125</v>
      </c>
      <c r="AK219">
        <v>0</v>
      </c>
      <c r="AL219">
        <v>3</v>
      </c>
      <c r="AM219">
        <v>2</v>
      </c>
      <c r="AN219">
        <v>1</v>
      </c>
      <c r="AO219" t="s">
        <v>573</v>
      </c>
      <c r="AP219">
        <v>42.898178000000001</v>
      </c>
      <c r="AQ219" t="s">
        <v>574</v>
      </c>
      <c r="AR219">
        <v>-77.592723000000007</v>
      </c>
      <c r="AS219">
        <v>25</v>
      </c>
      <c r="AT219">
        <v>2425</v>
      </c>
      <c r="AU219" t="s">
        <v>123</v>
      </c>
      <c r="AV219">
        <v>80</v>
      </c>
      <c r="AW219">
        <v>189</v>
      </c>
      <c r="AX219">
        <v>-192</v>
      </c>
      <c r="AZ219">
        <f t="shared" si="36"/>
        <v>6400</v>
      </c>
      <c r="BA219">
        <f t="shared" si="37"/>
        <v>35721</v>
      </c>
      <c r="BB219" s="1">
        <f t="shared" si="38"/>
        <v>205.23401277566055</v>
      </c>
      <c r="BJ219">
        <v>1404</v>
      </c>
      <c r="BK219">
        <v>1</v>
      </c>
      <c r="BL219" t="str">
        <f t="shared" si="32"/>
        <v xml:space="preserve">N600C   </v>
      </c>
      <c r="BM219">
        <v>2</v>
      </c>
      <c r="BO219">
        <v>0</v>
      </c>
      <c r="BP219">
        <v>0</v>
      </c>
      <c r="BQ219">
        <v>0</v>
      </c>
      <c r="BR219">
        <v>2600</v>
      </c>
      <c r="BS219">
        <v>175</v>
      </c>
      <c r="BT219" t="s">
        <v>128</v>
      </c>
      <c r="BU219">
        <v>0</v>
      </c>
      <c r="BV219">
        <v>0</v>
      </c>
      <c r="BW219">
        <v>0</v>
      </c>
      <c r="BX219">
        <v>1</v>
      </c>
      <c r="CA219">
        <v>0</v>
      </c>
      <c r="CB219">
        <v>0</v>
      </c>
      <c r="CC219">
        <v>0</v>
      </c>
      <c r="CM219" t="str">
        <f>"17:44:08.142"</f>
        <v>17:44:08.142</v>
      </c>
      <c r="CN219">
        <v>142062322</v>
      </c>
      <c r="CQ219">
        <v>0</v>
      </c>
      <c r="CR219">
        <v>2496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3</v>
      </c>
      <c r="DB219">
        <v>2</v>
      </c>
      <c r="DC219">
        <v>0</v>
      </c>
      <c r="DD219">
        <v>2</v>
      </c>
      <c r="DE219">
        <v>0</v>
      </c>
      <c r="DF219">
        <v>7</v>
      </c>
      <c r="DG219">
        <v>7</v>
      </c>
      <c r="DH219" t="s">
        <v>124</v>
      </c>
      <c r="DI219">
        <v>71</v>
      </c>
      <c r="DJ219">
        <v>1</v>
      </c>
      <c r="DK219" t="s">
        <v>134</v>
      </c>
      <c r="DL219" t="s">
        <v>135</v>
      </c>
      <c r="DO219">
        <v>11416097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</row>
    <row r="220" spans="1:131" x14ac:dyDescent="0.35">
      <c r="A220" s="2" t="str">
        <f>"17:44:09.334"</f>
        <v>17:44:09.334</v>
      </c>
      <c r="B220" s="4">
        <f t="shared" si="39"/>
        <v>63849.334000000003</v>
      </c>
      <c r="C220" s="4">
        <f t="shared" si="33"/>
        <v>249.33400000000256</v>
      </c>
      <c r="D220" s="3">
        <f t="shared" si="34"/>
        <v>0.73899692129629635</v>
      </c>
      <c r="E220" s="2">
        <f t="shared" si="35"/>
        <v>0.73899692129629635</v>
      </c>
      <c r="G220" t="str">
        <f t="shared" si="30"/>
        <v>FFDFD7C0</v>
      </c>
      <c r="H220" t="s">
        <v>126</v>
      </c>
      <c r="I220">
        <v>8</v>
      </c>
      <c r="J220">
        <v>1008</v>
      </c>
      <c r="K220" t="s">
        <v>129</v>
      </c>
      <c r="N220" t="s">
        <v>127</v>
      </c>
      <c r="O220">
        <v>0</v>
      </c>
      <c r="P220">
        <v>3</v>
      </c>
      <c r="Q220">
        <v>0</v>
      </c>
      <c r="R220">
        <v>2</v>
      </c>
      <c r="S220">
        <v>1</v>
      </c>
      <c r="T220">
        <v>0</v>
      </c>
      <c r="U220">
        <v>0</v>
      </c>
      <c r="W220" t="str">
        <f>"17:44:09.094"</f>
        <v>17:44:09.094</v>
      </c>
      <c r="X220" t="str">
        <f>"17:44:09.094"</f>
        <v>17:44:09.094</v>
      </c>
      <c r="Y220" t="str">
        <f t="shared" si="31"/>
        <v>A7C771</v>
      </c>
      <c r="Z220">
        <v>0</v>
      </c>
      <c r="AA220">
        <v>0</v>
      </c>
      <c r="AB220">
        <v>2</v>
      </c>
      <c r="AC220">
        <v>0</v>
      </c>
      <c r="AE220">
        <v>0</v>
      </c>
      <c r="AF220">
        <v>8</v>
      </c>
      <c r="AG220">
        <v>3</v>
      </c>
      <c r="AH220">
        <v>0</v>
      </c>
      <c r="AI220">
        <v>9</v>
      </c>
      <c r="AJ220" t="s">
        <v>125</v>
      </c>
      <c r="AK220">
        <v>0</v>
      </c>
      <c r="AL220">
        <v>3</v>
      </c>
      <c r="AM220">
        <v>2</v>
      </c>
      <c r="AN220">
        <v>1</v>
      </c>
      <c r="AO220" t="s">
        <v>575</v>
      </c>
      <c r="AP220">
        <v>42.899057999999997</v>
      </c>
      <c r="AQ220" t="s">
        <v>576</v>
      </c>
      <c r="AR220">
        <v>-77.592230000000001</v>
      </c>
      <c r="AS220">
        <v>25</v>
      </c>
      <c r="AT220">
        <v>2425</v>
      </c>
      <c r="AU220" t="s">
        <v>123</v>
      </c>
      <c r="AV220">
        <v>78</v>
      </c>
      <c r="AW220">
        <v>189</v>
      </c>
      <c r="AX220">
        <v>-256</v>
      </c>
      <c r="AZ220">
        <f t="shared" si="36"/>
        <v>6084</v>
      </c>
      <c r="BA220">
        <f t="shared" si="37"/>
        <v>35721</v>
      </c>
      <c r="BB220" s="1">
        <f t="shared" si="38"/>
        <v>204.46271053666484</v>
      </c>
      <c r="BJ220">
        <v>1404</v>
      </c>
      <c r="BK220">
        <v>1</v>
      </c>
      <c r="BL220" t="str">
        <f t="shared" si="32"/>
        <v xml:space="preserve">N600C   </v>
      </c>
      <c r="BM220">
        <v>2</v>
      </c>
      <c r="BO220">
        <v>0</v>
      </c>
      <c r="BP220">
        <v>0</v>
      </c>
      <c r="BQ220">
        <v>0</v>
      </c>
      <c r="BR220">
        <v>2600</v>
      </c>
      <c r="BS220">
        <v>175</v>
      </c>
      <c r="BT220" t="s">
        <v>128</v>
      </c>
      <c r="BU220">
        <v>0</v>
      </c>
      <c r="BV220">
        <v>0</v>
      </c>
      <c r="BW220">
        <v>0</v>
      </c>
      <c r="BX220">
        <v>1</v>
      </c>
      <c r="CA220">
        <v>0</v>
      </c>
      <c r="CB220">
        <v>0</v>
      </c>
      <c r="CC220">
        <v>0</v>
      </c>
      <c r="CM220" t="str">
        <f>"17:44:09.094"</f>
        <v>17:44:09.094</v>
      </c>
      <c r="CN220">
        <v>94239714</v>
      </c>
      <c r="CQ220">
        <v>0</v>
      </c>
      <c r="CR220">
        <v>2496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3</v>
      </c>
      <c r="DB220">
        <v>2</v>
      </c>
      <c r="DC220">
        <v>0</v>
      </c>
      <c r="DD220">
        <v>2</v>
      </c>
      <c r="DE220">
        <v>0</v>
      </c>
      <c r="DF220">
        <v>7</v>
      </c>
      <c r="DG220">
        <v>7</v>
      </c>
      <c r="DH220" t="s">
        <v>124</v>
      </c>
      <c r="DI220">
        <v>71</v>
      </c>
      <c r="DJ220">
        <v>1</v>
      </c>
      <c r="DK220" t="s">
        <v>134</v>
      </c>
      <c r="DL220" t="s">
        <v>135</v>
      </c>
      <c r="DO220">
        <v>11416888</v>
      </c>
      <c r="DQ220">
        <v>0</v>
      </c>
      <c r="DR220">
        <v>0</v>
      </c>
      <c r="DS220">
        <v>1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</row>
    <row r="221" spans="1:131" x14ac:dyDescent="0.35">
      <c r="A221" s="2" t="str">
        <f>"17:44:10.162"</f>
        <v>17:44:10.162</v>
      </c>
      <c r="B221" s="4">
        <f t="shared" si="39"/>
        <v>63850.161999999997</v>
      </c>
      <c r="C221" s="4">
        <f t="shared" si="33"/>
        <v>250.16199999999662</v>
      </c>
      <c r="D221" s="3">
        <f t="shared" si="34"/>
        <v>0.73900650462962958</v>
      </c>
      <c r="E221" s="2">
        <f t="shared" si="35"/>
        <v>0.73900650462962958</v>
      </c>
      <c r="G221" t="str">
        <f t="shared" si="30"/>
        <v>FFDFD7C0</v>
      </c>
      <c r="H221" t="s">
        <v>126</v>
      </c>
      <c r="I221">
        <v>8</v>
      </c>
      <c r="J221">
        <v>1008</v>
      </c>
      <c r="K221" t="s">
        <v>129</v>
      </c>
      <c r="N221" t="s">
        <v>127</v>
      </c>
      <c r="O221">
        <v>0</v>
      </c>
      <c r="P221">
        <v>3</v>
      </c>
      <c r="Q221">
        <v>0</v>
      </c>
      <c r="R221">
        <v>2</v>
      </c>
      <c r="S221">
        <v>1</v>
      </c>
      <c r="T221">
        <v>0</v>
      </c>
      <c r="U221">
        <v>0</v>
      </c>
      <c r="W221" t="str">
        <f>"17:44:09.938"</f>
        <v>17:44:09.938</v>
      </c>
      <c r="X221" t="str">
        <f>"17:44:09.538"</f>
        <v>17:44:09.538</v>
      </c>
      <c r="Y221" t="str">
        <f t="shared" si="31"/>
        <v>A7C771</v>
      </c>
      <c r="Z221">
        <v>0</v>
      </c>
      <c r="AA221">
        <v>0</v>
      </c>
      <c r="AB221">
        <v>2</v>
      </c>
      <c r="AC221">
        <v>0</v>
      </c>
      <c r="AE221">
        <v>0</v>
      </c>
      <c r="AF221">
        <v>8</v>
      </c>
      <c r="AG221">
        <v>3</v>
      </c>
      <c r="AH221">
        <v>0</v>
      </c>
      <c r="AI221">
        <v>9</v>
      </c>
      <c r="AJ221" t="s">
        <v>125</v>
      </c>
      <c r="AK221">
        <v>0</v>
      </c>
      <c r="AL221">
        <v>3</v>
      </c>
      <c r="AM221">
        <v>2</v>
      </c>
      <c r="AN221">
        <v>1</v>
      </c>
      <c r="AO221" t="s">
        <v>577</v>
      </c>
      <c r="AP221">
        <v>42.899745000000003</v>
      </c>
      <c r="AQ221" t="s">
        <v>578</v>
      </c>
      <c r="AR221">
        <v>-77.591843999999995</v>
      </c>
      <c r="AS221">
        <v>25</v>
      </c>
      <c r="AT221">
        <v>2425</v>
      </c>
      <c r="AU221" t="s">
        <v>123</v>
      </c>
      <c r="AV221">
        <v>77</v>
      </c>
      <c r="AW221">
        <v>189</v>
      </c>
      <c r="AX221">
        <v>-256</v>
      </c>
      <c r="AZ221">
        <f t="shared" si="36"/>
        <v>5929</v>
      </c>
      <c r="BA221">
        <f t="shared" si="37"/>
        <v>35721</v>
      </c>
      <c r="BB221" s="1">
        <f t="shared" si="38"/>
        <v>204.08331631958552</v>
      </c>
      <c r="BJ221">
        <v>1404</v>
      </c>
      <c r="BK221">
        <v>1</v>
      </c>
      <c r="BL221" t="str">
        <f t="shared" si="32"/>
        <v xml:space="preserve">N600C   </v>
      </c>
      <c r="BM221">
        <v>2</v>
      </c>
      <c r="BO221">
        <v>0</v>
      </c>
      <c r="BP221">
        <v>0</v>
      </c>
      <c r="BQ221">
        <v>0</v>
      </c>
      <c r="BR221">
        <v>2600</v>
      </c>
      <c r="BS221">
        <v>175</v>
      </c>
      <c r="BT221" t="s">
        <v>128</v>
      </c>
      <c r="BU221">
        <v>0</v>
      </c>
      <c r="BV221">
        <v>0</v>
      </c>
      <c r="BW221">
        <v>0</v>
      </c>
      <c r="BX221">
        <v>1</v>
      </c>
      <c r="CA221">
        <v>0</v>
      </c>
      <c r="CB221">
        <v>0</v>
      </c>
      <c r="CC221">
        <v>0</v>
      </c>
      <c r="CM221" t="str">
        <f>"17:44:09.942"</f>
        <v>17:44:09.942</v>
      </c>
      <c r="CN221">
        <v>942391224</v>
      </c>
      <c r="CQ221">
        <v>0</v>
      </c>
      <c r="CR221">
        <v>2496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3</v>
      </c>
      <c r="DB221">
        <v>2</v>
      </c>
      <c r="DC221">
        <v>0</v>
      </c>
      <c r="DD221">
        <v>2</v>
      </c>
      <c r="DE221">
        <v>0</v>
      </c>
      <c r="DF221">
        <v>7</v>
      </c>
      <c r="DG221">
        <v>7</v>
      </c>
      <c r="DH221" t="s">
        <v>124</v>
      </c>
      <c r="DI221">
        <v>71</v>
      </c>
      <c r="DJ221">
        <v>1</v>
      </c>
      <c r="DK221" t="s">
        <v>134</v>
      </c>
      <c r="DL221" t="s">
        <v>135</v>
      </c>
      <c r="DO221">
        <v>11417609</v>
      </c>
      <c r="DQ221">
        <v>0</v>
      </c>
      <c r="DR221">
        <v>0</v>
      </c>
      <c r="DS221">
        <v>1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</row>
    <row r="222" spans="1:131" x14ac:dyDescent="0.35">
      <c r="A222" s="2" t="str">
        <f>"17:44:11.318"</f>
        <v>17:44:11.318</v>
      </c>
      <c r="B222" s="4">
        <f t="shared" si="39"/>
        <v>63851.317999999999</v>
      </c>
      <c r="C222" s="4">
        <f t="shared" si="33"/>
        <v>251.3179999999993</v>
      </c>
      <c r="D222" s="3">
        <f t="shared" si="34"/>
        <v>0.73901988425925924</v>
      </c>
      <c r="E222" s="2">
        <f t="shared" si="35"/>
        <v>0.73901988425925924</v>
      </c>
      <c r="G222" t="str">
        <f t="shared" si="30"/>
        <v>FFDFD7C0</v>
      </c>
      <c r="H222" t="s">
        <v>126</v>
      </c>
      <c r="I222">
        <v>8</v>
      </c>
      <c r="J222">
        <v>1008</v>
      </c>
      <c r="K222" t="s">
        <v>129</v>
      </c>
      <c r="N222" t="s">
        <v>127</v>
      </c>
      <c r="O222">
        <v>0</v>
      </c>
      <c r="P222">
        <v>3</v>
      </c>
      <c r="Q222">
        <v>0</v>
      </c>
      <c r="R222">
        <v>2</v>
      </c>
      <c r="S222">
        <v>1</v>
      </c>
      <c r="T222">
        <v>0</v>
      </c>
      <c r="U222">
        <v>0</v>
      </c>
      <c r="W222" t="str">
        <f>"17:44:10.961"</f>
        <v>17:44:10.961</v>
      </c>
      <c r="X222" t="str">
        <f>"17:44:10.661"</f>
        <v>17:44:10.661</v>
      </c>
      <c r="Y222" t="str">
        <f t="shared" si="31"/>
        <v>A7C771</v>
      </c>
      <c r="Z222">
        <v>0</v>
      </c>
      <c r="AA222">
        <v>0</v>
      </c>
      <c r="AB222">
        <v>2</v>
      </c>
      <c r="AC222">
        <v>0</v>
      </c>
      <c r="AE222">
        <v>0</v>
      </c>
      <c r="AF222">
        <v>8</v>
      </c>
      <c r="AG222">
        <v>3</v>
      </c>
      <c r="AH222">
        <v>0</v>
      </c>
      <c r="AI222">
        <v>9</v>
      </c>
      <c r="AJ222" t="s">
        <v>125</v>
      </c>
      <c r="AK222">
        <v>0</v>
      </c>
      <c r="AL222">
        <v>3</v>
      </c>
      <c r="AM222">
        <v>2</v>
      </c>
      <c r="AN222">
        <v>1</v>
      </c>
      <c r="AO222" t="s">
        <v>579</v>
      </c>
      <c r="AP222">
        <v>42.900646000000002</v>
      </c>
      <c r="AQ222" t="s">
        <v>580</v>
      </c>
      <c r="AR222">
        <v>-77.591392999999997</v>
      </c>
      <c r="AS222">
        <v>25</v>
      </c>
      <c r="AT222">
        <v>2425</v>
      </c>
      <c r="AU222" t="s">
        <v>123</v>
      </c>
      <c r="AV222">
        <v>75</v>
      </c>
      <c r="AW222">
        <v>189</v>
      </c>
      <c r="AX222">
        <v>-192</v>
      </c>
      <c r="AZ222">
        <f t="shared" si="36"/>
        <v>5625</v>
      </c>
      <c r="BA222">
        <f t="shared" si="37"/>
        <v>35721</v>
      </c>
      <c r="BB222" s="1">
        <f t="shared" si="38"/>
        <v>203.33715843396652</v>
      </c>
      <c r="BJ222">
        <v>1404</v>
      </c>
      <c r="BK222">
        <v>1</v>
      </c>
      <c r="BL222" t="str">
        <f t="shared" si="32"/>
        <v xml:space="preserve">N600C   </v>
      </c>
      <c r="BM222">
        <v>2</v>
      </c>
      <c r="BO222">
        <v>0</v>
      </c>
      <c r="BP222">
        <v>0</v>
      </c>
      <c r="BQ222">
        <v>0</v>
      </c>
      <c r="BR222">
        <v>2600</v>
      </c>
      <c r="BS222">
        <v>175</v>
      </c>
      <c r="BT222" t="s">
        <v>128</v>
      </c>
      <c r="BU222">
        <v>0</v>
      </c>
      <c r="BV222">
        <v>0</v>
      </c>
      <c r="BW222">
        <v>0</v>
      </c>
      <c r="BX222">
        <v>1</v>
      </c>
      <c r="CA222">
        <v>0</v>
      </c>
      <c r="CB222">
        <v>0</v>
      </c>
      <c r="CC222">
        <v>0</v>
      </c>
      <c r="CM222" t="str">
        <f>"17:44:10.967"</f>
        <v>17:44:10.967</v>
      </c>
      <c r="CN222">
        <v>966605979</v>
      </c>
      <c r="CQ222">
        <v>0</v>
      </c>
      <c r="CR222">
        <v>2496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3</v>
      </c>
      <c r="DB222">
        <v>2</v>
      </c>
      <c r="DC222">
        <v>0</v>
      </c>
      <c r="DD222">
        <v>2</v>
      </c>
      <c r="DE222">
        <v>0</v>
      </c>
      <c r="DF222">
        <v>7</v>
      </c>
      <c r="DG222">
        <v>7</v>
      </c>
      <c r="DH222" t="s">
        <v>124</v>
      </c>
      <c r="DI222">
        <v>407</v>
      </c>
      <c r="DJ222">
        <v>3</v>
      </c>
      <c r="DK222" t="s">
        <v>132</v>
      </c>
      <c r="DL222" t="s">
        <v>133</v>
      </c>
      <c r="DO222">
        <v>1464984</v>
      </c>
      <c r="DQ222">
        <v>0</v>
      </c>
      <c r="DR222">
        <v>0</v>
      </c>
      <c r="DS222">
        <v>1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</row>
    <row r="223" spans="1:131" x14ac:dyDescent="0.35">
      <c r="A223" s="2" t="str">
        <f>"17:44:12.350"</f>
        <v>17:44:12.350</v>
      </c>
      <c r="B223" s="4">
        <f t="shared" si="39"/>
        <v>63852.35</v>
      </c>
      <c r="C223" s="4">
        <f t="shared" si="33"/>
        <v>252.34999999999854</v>
      </c>
      <c r="D223" s="3">
        <f t="shared" si="34"/>
        <v>0.73903182870370365</v>
      </c>
      <c r="E223" s="2">
        <f t="shared" si="35"/>
        <v>0.73903182870370365</v>
      </c>
      <c r="G223" t="str">
        <f t="shared" si="30"/>
        <v>FFDFD7C0</v>
      </c>
      <c r="H223" t="s">
        <v>126</v>
      </c>
      <c r="I223">
        <v>8</v>
      </c>
      <c r="J223">
        <v>1008</v>
      </c>
      <c r="K223" t="s">
        <v>129</v>
      </c>
      <c r="N223" t="s">
        <v>127</v>
      </c>
      <c r="O223">
        <v>0</v>
      </c>
      <c r="P223">
        <v>3</v>
      </c>
      <c r="Q223">
        <v>0</v>
      </c>
      <c r="R223">
        <v>2</v>
      </c>
      <c r="S223">
        <v>1</v>
      </c>
      <c r="T223">
        <v>0</v>
      </c>
      <c r="U223">
        <v>0</v>
      </c>
      <c r="W223" t="str">
        <f>"17:44:12.055"</f>
        <v>17:44:12.055</v>
      </c>
      <c r="X223" t="str">
        <f>"17:44:11.855"</f>
        <v>17:44:11.855</v>
      </c>
      <c r="Y223" t="str">
        <f t="shared" si="31"/>
        <v>A7C771</v>
      </c>
      <c r="Z223">
        <v>0</v>
      </c>
      <c r="AA223">
        <v>0</v>
      </c>
      <c r="AB223">
        <v>2</v>
      </c>
      <c r="AC223">
        <v>0</v>
      </c>
      <c r="AE223">
        <v>0</v>
      </c>
      <c r="AF223">
        <v>8</v>
      </c>
      <c r="AG223">
        <v>3</v>
      </c>
      <c r="AH223">
        <v>0</v>
      </c>
      <c r="AI223">
        <v>9</v>
      </c>
      <c r="AJ223" t="s">
        <v>125</v>
      </c>
      <c r="AK223">
        <v>0</v>
      </c>
      <c r="AL223">
        <v>3</v>
      </c>
      <c r="AM223">
        <v>2</v>
      </c>
      <c r="AN223">
        <v>1</v>
      </c>
      <c r="AO223" t="s">
        <v>581</v>
      </c>
      <c r="AP223">
        <v>42.901611000000003</v>
      </c>
      <c r="AQ223" t="s">
        <v>582</v>
      </c>
      <c r="AR223">
        <v>-77.590878000000004</v>
      </c>
      <c r="AS223">
        <v>25</v>
      </c>
      <c r="AT223">
        <v>2400</v>
      </c>
      <c r="AU223" t="s">
        <v>123</v>
      </c>
      <c r="AV223">
        <v>73</v>
      </c>
      <c r="AW223">
        <v>190</v>
      </c>
      <c r="AX223">
        <v>-256</v>
      </c>
      <c r="AZ223">
        <f t="shared" si="36"/>
        <v>5329</v>
      </c>
      <c r="BA223">
        <f t="shared" si="37"/>
        <v>36100</v>
      </c>
      <c r="BB223" s="1">
        <f t="shared" si="38"/>
        <v>203.54115063052976</v>
      </c>
      <c r="BJ223">
        <v>1404</v>
      </c>
      <c r="BK223">
        <v>1</v>
      </c>
      <c r="BL223" t="str">
        <f t="shared" si="32"/>
        <v xml:space="preserve">N600C   </v>
      </c>
      <c r="BM223">
        <v>2</v>
      </c>
      <c r="BO223">
        <v>0</v>
      </c>
      <c r="BP223">
        <v>0</v>
      </c>
      <c r="BQ223">
        <v>0</v>
      </c>
      <c r="BR223">
        <v>2600</v>
      </c>
      <c r="BS223">
        <v>200</v>
      </c>
      <c r="BT223" t="s">
        <v>128</v>
      </c>
      <c r="BU223">
        <v>0</v>
      </c>
      <c r="BV223">
        <v>0</v>
      </c>
      <c r="BW223">
        <v>0</v>
      </c>
      <c r="BX223">
        <v>1</v>
      </c>
      <c r="CA223">
        <v>0</v>
      </c>
      <c r="CB223">
        <v>0</v>
      </c>
      <c r="CC223">
        <v>0</v>
      </c>
      <c r="CM223" t="str">
        <f>"17:44:12.055"</f>
        <v>17:44:12.055</v>
      </c>
      <c r="CN223">
        <v>54786383</v>
      </c>
      <c r="CQ223">
        <v>0</v>
      </c>
      <c r="CR223">
        <v>2496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3</v>
      </c>
      <c r="DB223">
        <v>2</v>
      </c>
      <c r="DC223">
        <v>0</v>
      </c>
      <c r="DD223">
        <v>2</v>
      </c>
      <c r="DE223">
        <v>0</v>
      </c>
      <c r="DF223">
        <v>7</v>
      </c>
      <c r="DG223">
        <v>7</v>
      </c>
      <c r="DH223" t="s">
        <v>124</v>
      </c>
      <c r="DI223">
        <v>71</v>
      </c>
      <c r="DJ223">
        <v>1</v>
      </c>
      <c r="DK223" t="s">
        <v>134</v>
      </c>
      <c r="DL223" t="s">
        <v>135</v>
      </c>
      <c r="DO223">
        <v>11419536</v>
      </c>
      <c r="DQ223">
        <v>0</v>
      </c>
      <c r="DR223">
        <v>0</v>
      </c>
      <c r="DS223">
        <v>1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</row>
    <row r="224" spans="1:131" x14ac:dyDescent="0.35">
      <c r="A224" s="2" t="str">
        <f>"17:44:13.444"</f>
        <v>17:44:13.444</v>
      </c>
      <c r="B224" s="4">
        <f t="shared" si="39"/>
        <v>63853.444000000003</v>
      </c>
      <c r="C224" s="4">
        <f t="shared" si="33"/>
        <v>253.44400000000314</v>
      </c>
      <c r="D224" s="3">
        <f t="shared" si="34"/>
        <v>0.73904449074074074</v>
      </c>
      <c r="E224" s="2">
        <f t="shared" si="35"/>
        <v>0.73904449074074074</v>
      </c>
      <c r="G224" t="str">
        <f t="shared" si="30"/>
        <v>FFDFD7C0</v>
      </c>
      <c r="H224" t="s">
        <v>126</v>
      </c>
      <c r="I224">
        <v>8</v>
      </c>
      <c r="J224">
        <v>1008</v>
      </c>
      <c r="K224" t="s">
        <v>129</v>
      </c>
      <c r="N224" t="s">
        <v>127</v>
      </c>
      <c r="O224">
        <v>0</v>
      </c>
      <c r="P224">
        <v>3</v>
      </c>
      <c r="Q224">
        <v>0</v>
      </c>
      <c r="R224">
        <v>2</v>
      </c>
      <c r="S224">
        <v>1</v>
      </c>
      <c r="T224">
        <v>0</v>
      </c>
      <c r="U224">
        <v>0</v>
      </c>
      <c r="W224" t="str">
        <f>"17:44:13.117"</f>
        <v>17:44:13.117</v>
      </c>
      <c r="X224" t="str">
        <f>"17:44:12.717"</f>
        <v>17:44:12.717</v>
      </c>
      <c r="Y224" t="str">
        <f t="shared" si="31"/>
        <v>A7C771</v>
      </c>
      <c r="Z224">
        <v>0</v>
      </c>
      <c r="AA224">
        <v>0</v>
      </c>
      <c r="AB224">
        <v>2</v>
      </c>
      <c r="AC224">
        <v>0</v>
      </c>
      <c r="AE224">
        <v>0</v>
      </c>
      <c r="AF224">
        <v>8</v>
      </c>
      <c r="AG224">
        <v>3</v>
      </c>
      <c r="AH224">
        <v>0</v>
      </c>
      <c r="AI224">
        <v>9</v>
      </c>
      <c r="AJ224" t="s">
        <v>125</v>
      </c>
      <c r="AK224">
        <v>0</v>
      </c>
      <c r="AL224">
        <v>3</v>
      </c>
      <c r="AM224">
        <v>2</v>
      </c>
      <c r="AN224">
        <v>1</v>
      </c>
      <c r="AO224" t="s">
        <v>583</v>
      </c>
      <c r="AP224">
        <v>42.902577000000001</v>
      </c>
      <c r="AQ224" t="s">
        <v>584</v>
      </c>
      <c r="AR224">
        <v>-77.590362999999996</v>
      </c>
      <c r="AS224">
        <v>25</v>
      </c>
      <c r="AT224">
        <v>2400</v>
      </c>
      <c r="AU224" t="s">
        <v>123</v>
      </c>
      <c r="AV224">
        <v>71</v>
      </c>
      <c r="AW224">
        <v>190</v>
      </c>
      <c r="AX224">
        <v>-320</v>
      </c>
      <c r="AZ224">
        <f t="shared" si="36"/>
        <v>5041</v>
      </c>
      <c r="BA224">
        <f t="shared" si="37"/>
        <v>36100</v>
      </c>
      <c r="BB224" s="1">
        <f t="shared" si="38"/>
        <v>202.8324431643025</v>
      </c>
      <c r="BJ224">
        <v>1404</v>
      </c>
      <c r="BK224">
        <v>1</v>
      </c>
      <c r="BL224" t="str">
        <f t="shared" si="32"/>
        <v xml:space="preserve">N600C   </v>
      </c>
      <c r="BM224">
        <v>2</v>
      </c>
      <c r="BO224">
        <v>0</v>
      </c>
      <c r="BP224">
        <v>0</v>
      </c>
      <c r="BQ224">
        <v>0</v>
      </c>
      <c r="BR224">
        <v>2575</v>
      </c>
      <c r="BS224">
        <v>175</v>
      </c>
      <c r="BT224" t="s">
        <v>128</v>
      </c>
      <c r="BU224">
        <v>0</v>
      </c>
      <c r="BV224">
        <v>0</v>
      </c>
      <c r="BW224">
        <v>0</v>
      </c>
      <c r="BX224">
        <v>1</v>
      </c>
      <c r="CA224">
        <v>0</v>
      </c>
      <c r="CB224">
        <v>0</v>
      </c>
      <c r="CC224">
        <v>0</v>
      </c>
      <c r="CM224" t="str">
        <f>"17:44:13.119"</f>
        <v>17:44:13.119</v>
      </c>
      <c r="CN224">
        <v>118980037</v>
      </c>
      <c r="CQ224">
        <v>0</v>
      </c>
      <c r="CR224">
        <v>2496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3</v>
      </c>
      <c r="DB224">
        <v>2</v>
      </c>
      <c r="DC224">
        <v>0</v>
      </c>
      <c r="DD224">
        <v>2</v>
      </c>
      <c r="DE224">
        <v>0</v>
      </c>
      <c r="DF224">
        <v>7</v>
      </c>
      <c r="DG224">
        <v>7</v>
      </c>
      <c r="DH224" t="s">
        <v>124</v>
      </c>
      <c r="DI224">
        <v>71</v>
      </c>
      <c r="DJ224">
        <v>1</v>
      </c>
      <c r="DK224" t="s">
        <v>134</v>
      </c>
      <c r="DL224" t="s">
        <v>135</v>
      </c>
      <c r="DO224">
        <v>11420623</v>
      </c>
      <c r="DQ224">
        <v>0</v>
      </c>
      <c r="DR224">
        <v>0</v>
      </c>
      <c r="DS224">
        <v>1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</row>
    <row r="225" spans="1:131" x14ac:dyDescent="0.35">
      <c r="A225" s="2" t="str">
        <f>"17:44:14.286"</f>
        <v>17:44:14.286</v>
      </c>
      <c r="B225" s="4">
        <f t="shared" si="39"/>
        <v>63854.286</v>
      </c>
      <c r="C225" s="4">
        <f t="shared" si="33"/>
        <v>254.28600000000006</v>
      </c>
      <c r="D225" s="3">
        <f t="shared" si="34"/>
        <v>0.7390542361111111</v>
      </c>
      <c r="E225" s="2">
        <f t="shared" si="35"/>
        <v>0.7390542361111111</v>
      </c>
      <c r="G225" t="str">
        <f t="shared" si="30"/>
        <v>FFDFD7C0</v>
      </c>
      <c r="H225" t="s">
        <v>126</v>
      </c>
      <c r="I225">
        <v>8</v>
      </c>
      <c r="J225">
        <v>1008</v>
      </c>
      <c r="K225" t="s">
        <v>129</v>
      </c>
      <c r="N225" t="s">
        <v>127</v>
      </c>
      <c r="O225">
        <v>0</v>
      </c>
      <c r="P225">
        <v>3</v>
      </c>
      <c r="Q225">
        <v>0</v>
      </c>
      <c r="R225">
        <v>2</v>
      </c>
      <c r="S225">
        <v>1</v>
      </c>
      <c r="T225">
        <v>0</v>
      </c>
      <c r="U225">
        <v>0</v>
      </c>
      <c r="W225" t="str">
        <f>"17:44:14.063"</f>
        <v>17:44:14.063</v>
      </c>
      <c r="X225" t="str">
        <f>"17:44:13.663"</f>
        <v>17:44:13.663</v>
      </c>
      <c r="Y225" t="str">
        <f t="shared" si="31"/>
        <v>A7C771</v>
      </c>
      <c r="Z225">
        <v>0</v>
      </c>
      <c r="AA225">
        <v>0</v>
      </c>
      <c r="AB225">
        <v>2</v>
      </c>
      <c r="AC225">
        <v>0</v>
      </c>
      <c r="AE225">
        <v>0</v>
      </c>
      <c r="AF225">
        <v>8</v>
      </c>
      <c r="AG225">
        <v>3</v>
      </c>
      <c r="AH225">
        <v>0</v>
      </c>
      <c r="AI225">
        <v>9</v>
      </c>
      <c r="AJ225" t="s">
        <v>125</v>
      </c>
      <c r="AK225">
        <v>0</v>
      </c>
      <c r="AL225">
        <v>3</v>
      </c>
      <c r="AM225">
        <v>2</v>
      </c>
      <c r="AN225">
        <v>1</v>
      </c>
      <c r="AO225" t="s">
        <v>585</v>
      </c>
      <c r="AP225">
        <v>42.903371</v>
      </c>
      <c r="AQ225" t="s">
        <v>586</v>
      </c>
      <c r="AR225">
        <v>-77.590019999999996</v>
      </c>
      <c r="AS225">
        <v>25</v>
      </c>
      <c r="AT225">
        <v>2400</v>
      </c>
      <c r="AU225" t="s">
        <v>123</v>
      </c>
      <c r="AV225">
        <v>70</v>
      </c>
      <c r="AW225">
        <v>190</v>
      </c>
      <c r="AX225">
        <v>-384</v>
      </c>
      <c r="AZ225">
        <f t="shared" si="36"/>
        <v>4900</v>
      </c>
      <c r="BA225">
        <f t="shared" si="37"/>
        <v>36100</v>
      </c>
      <c r="BB225" s="1">
        <f t="shared" si="38"/>
        <v>202.48456731316588</v>
      </c>
      <c r="BJ225">
        <v>1404</v>
      </c>
      <c r="BK225">
        <v>1</v>
      </c>
      <c r="BL225" t="str">
        <f t="shared" si="32"/>
        <v xml:space="preserve">N600C   </v>
      </c>
      <c r="BM225">
        <v>2</v>
      </c>
      <c r="BO225">
        <v>0</v>
      </c>
      <c r="BP225">
        <v>0</v>
      </c>
      <c r="BQ225">
        <v>0</v>
      </c>
      <c r="BR225">
        <v>2575</v>
      </c>
      <c r="BS225">
        <v>175</v>
      </c>
      <c r="BT225" t="s">
        <v>128</v>
      </c>
      <c r="BU225">
        <v>0</v>
      </c>
      <c r="BV225">
        <v>0</v>
      </c>
      <c r="BW225">
        <v>0</v>
      </c>
      <c r="BX225">
        <v>1</v>
      </c>
      <c r="CA225">
        <v>0</v>
      </c>
      <c r="CB225">
        <v>0</v>
      </c>
      <c r="CC225">
        <v>0</v>
      </c>
      <c r="CM225" t="str">
        <f>"17:44:14.063"</f>
        <v>17:44:14.063</v>
      </c>
      <c r="CN225">
        <v>63154847</v>
      </c>
      <c r="CQ225">
        <v>0</v>
      </c>
      <c r="CR225">
        <v>2496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3</v>
      </c>
      <c r="DB225">
        <v>2</v>
      </c>
      <c r="DC225">
        <v>0</v>
      </c>
      <c r="DD225">
        <v>2</v>
      </c>
      <c r="DE225">
        <v>0</v>
      </c>
      <c r="DF225">
        <v>7</v>
      </c>
      <c r="DG225">
        <v>7</v>
      </c>
      <c r="DH225" t="s">
        <v>124</v>
      </c>
      <c r="DI225">
        <v>71</v>
      </c>
      <c r="DJ225">
        <v>1</v>
      </c>
      <c r="DK225" t="s">
        <v>134</v>
      </c>
      <c r="DL225" t="s">
        <v>135</v>
      </c>
      <c r="DO225">
        <v>11421401</v>
      </c>
      <c r="DQ225">
        <v>0</v>
      </c>
      <c r="DR225">
        <v>0</v>
      </c>
      <c r="DS225">
        <v>1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</row>
    <row r="226" spans="1:131" x14ac:dyDescent="0.35">
      <c r="A226" s="2" t="str">
        <f>"17:44:15.443"</f>
        <v>17:44:15.443</v>
      </c>
      <c r="B226" s="4">
        <f t="shared" si="39"/>
        <v>63855.442999999999</v>
      </c>
      <c r="C226" s="4">
        <f t="shared" si="33"/>
        <v>255.4429999999993</v>
      </c>
      <c r="D226" s="3">
        <f t="shared" si="34"/>
        <v>0.73906762731481479</v>
      </c>
      <c r="E226" s="2">
        <f t="shared" si="35"/>
        <v>0.73906762731481479</v>
      </c>
      <c r="G226" t="str">
        <f t="shared" si="30"/>
        <v>FFDFD7C0</v>
      </c>
      <c r="H226" t="s">
        <v>126</v>
      </c>
      <c r="I226">
        <v>8</v>
      </c>
      <c r="J226">
        <v>1008</v>
      </c>
      <c r="K226" t="s">
        <v>129</v>
      </c>
      <c r="N226" t="s">
        <v>127</v>
      </c>
      <c r="O226">
        <v>0</v>
      </c>
      <c r="P226">
        <v>3</v>
      </c>
      <c r="Q226">
        <v>0</v>
      </c>
      <c r="R226">
        <v>2</v>
      </c>
      <c r="S226">
        <v>1</v>
      </c>
      <c r="T226">
        <v>0</v>
      </c>
      <c r="U226">
        <v>0</v>
      </c>
      <c r="W226" t="str">
        <f>"17:44:15.039"</f>
        <v>17:44:15.039</v>
      </c>
      <c r="X226" t="str">
        <f>"17:44:14.639"</f>
        <v>17:44:14.639</v>
      </c>
      <c r="Y226" t="str">
        <f t="shared" si="31"/>
        <v>A7C771</v>
      </c>
      <c r="Z226">
        <v>0</v>
      </c>
      <c r="AA226">
        <v>0</v>
      </c>
      <c r="AB226">
        <v>2</v>
      </c>
      <c r="AC226">
        <v>0</v>
      </c>
      <c r="AE226">
        <v>0</v>
      </c>
      <c r="AF226">
        <v>8</v>
      </c>
      <c r="AG226">
        <v>3</v>
      </c>
      <c r="AH226">
        <v>0</v>
      </c>
      <c r="AI226">
        <v>9</v>
      </c>
      <c r="AJ226" t="s">
        <v>125</v>
      </c>
      <c r="AK226">
        <v>0</v>
      </c>
      <c r="AL226">
        <v>3</v>
      </c>
      <c r="AM226">
        <v>2</v>
      </c>
      <c r="AN226">
        <v>1</v>
      </c>
      <c r="AO226" t="s">
        <v>587</v>
      </c>
      <c r="AP226">
        <v>42.904271999999999</v>
      </c>
      <c r="AQ226" t="s">
        <v>588</v>
      </c>
      <c r="AR226">
        <v>-77.589568999999997</v>
      </c>
      <c r="AS226">
        <v>25</v>
      </c>
      <c r="AT226">
        <v>2400</v>
      </c>
      <c r="AU226" t="s">
        <v>123</v>
      </c>
      <c r="AV226">
        <v>68</v>
      </c>
      <c r="AW226">
        <v>190</v>
      </c>
      <c r="AX226">
        <v>-320</v>
      </c>
      <c r="AZ226">
        <f t="shared" si="36"/>
        <v>4624</v>
      </c>
      <c r="BA226">
        <f t="shared" si="37"/>
        <v>36100</v>
      </c>
      <c r="BB226" s="1">
        <f t="shared" si="38"/>
        <v>201.8018830437417</v>
      </c>
      <c r="BJ226">
        <v>1404</v>
      </c>
      <c r="BK226">
        <v>1</v>
      </c>
      <c r="BL226" t="str">
        <f t="shared" si="32"/>
        <v xml:space="preserve">N600C   </v>
      </c>
      <c r="BM226">
        <v>2</v>
      </c>
      <c r="BO226">
        <v>0</v>
      </c>
      <c r="BP226">
        <v>0</v>
      </c>
      <c r="BQ226">
        <v>0</v>
      </c>
      <c r="BR226">
        <v>2575</v>
      </c>
      <c r="BS226">
        <v>175</v>
      </c>
      <c r="BT226" t="s">
        <v>128</v>
      </c>
      <c r="BU226">
        <v>0</v>
      </c>
      <c r="BV226">
        <v>0</v>
      </c>
      <c r="BW226">
        <v>0</v>
      </c>
      <c r="BX226">
        <v>1</v>
      </c>
      <c r="CA226">
        <v>0</v>
      </c>
      <c r="CB226">
        <v>0</v>
      </c>
      <c r="CC226">
        <v>0</v>
      </c>
      <c r="CM226" t="str">
        <f>"17:44:15.039"</f>
        <v>17:44:15.039</v>
      </c>
      <c r="CN226">
        <v>39333250</v>
      </c>
      <c r="CQ226">
        <v>0</v>
      </c>
      <c r="CR226">
        <v>2496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3</v>
      </c>
      <c r="DB226">
        <v>2</v>
      </c>
      <c r="DC226">
        <v>0</v>
      </c>
      <c r="DD226">
        <v>2</v>
      </c>
      <c r="DE226">
        <v>0</v>
      </c>
      <c r="DF226">
        <v>7</v>
      </c>
      <c r="DG226">
        <v>7</v>
      </c>
      <c r="DH226" t="s">
        <v>124</v>
      </c>
      <c r="DI226">
        <v>71</v>
      </c>
      <c r="DJ226">
        <v>1</v>
      </c>
      <c r="DK226" t="s">
        <v>134</v>
      </c>
      <c r="DL226" t="s">
        <v>135</v>
      </c>
      <c r="DO226">
        <v>11422239</v>
      </c>
      <c r="DQ226">
        <v>0</v>
      </c>
      <c r="DR226">
        <v>0</v>
      </c>
      <c r="DS226">
        <v>1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</row>
    <row r="227" spans="1:131" x14ac:dyDescent="0.35">
      <c r="A227" s="2" t="str">
        <f>"17:44:16.334"</f>
        <v>17:44:16.334</v>
      </c>
      <c r="B227" s="4">
        <f t="shared" si="39"/>
        <v>63856.334000000003</v>
      </c>
      <c r="C227" s="4">
        <f t="shared" si="33"/>
        <v>256.33400000000256</v>
      </c>
      <c r="D227" s="3">
        <f t="shared" si="34"/>
        <v>0.73907793981481484</v>
      </c>
      <c r="E227" s="2">
        <f t="shared" si="35"/>
        <v>0.73907793981481484</v>
      </c>
      <c r="G227" t="str">
        <f t="shared" si="30"/>
        <v>FFDFD7C0</v>
      </c>
      <c r="H227" t="s">
        <v>126</v>
      </c>
      <c r="I227">
        <v>8</v>
      </c>
      <c r="J227">
        <v>1008</v>
      </c>
      <c r="K227" t="s">
        <v>129</v>
      </c>
      <c r="N227" t="s">
        <v>127</v>
      </c>
      <c r="O227">
        <v>0</v>
      </c>
      <c r="P227">
        <v>3</v>
      </c>
      <c r="Q227">
        <v>0</v>
      </c>
      <c r="R227">
        <v>2</v>
      </c>
      <c r="S227">
        <v>1</v>
      </c>
      <c r="T227">
        <v>0</v>
      </c>
      <c r="U227">
        <v>0</v>
      </c>
      <c r="W227" t="str">
        <f>"17:44:16.117"</f>
        <v>17:44:16.117</v>
      </c>
      <c r="X227" t="str">
        <f>"17:44:15.817"</f>
        <v>17:44:15.817</v>
      </c>
      <c r="Y227" t="str">
        <f t="shared" si="31"/>
        <v>A7C771</v>
      </c>
      <c r="Z227">
        <v>0</v>
      </c>
      <c r="AA227">
        <v>0</v>
      </c>
      <c r="AB227">
        <v>2</v>
      </c>
      <c r="AC227">
        <v>0</v>
      </c>
      <c r="AE227">
        <v>0</v>
      </c>
      <c r="AF227">
        <v>8</v>
      </c>
      <c r="AG227">
        <v>3</v>
      </c>
      <c r="AH227">
        <v>0</v>
      </c>
      <c r="AI227">
        <v>9</v>
      </c>
      <c r="AJ227" t="s">
        <v>125</v>
      </c>
      <c r="AK227">
        <v>0</v>
      </c>
      <c r="AL227">
        <v>3</v>
      </c>
      <c r="AM227">
        <v>2</v>
      </c>
      <c r="AN227">
        <v>1</v>
      </c>
      <c r="AO227" t="s">
        <v>589</v>
      </c>
      <c r="AP227">
        <v>42.905237999999997</v>
      </c>
      <c r="AQ227" t="s">
        <v>590</v>
      </c>
      <c r="AR227">
        <v>-77.589161000000004</v>
      </c>
      <c r="AS227">
        <v>25</v>
      </c>
      <c r="AT227">
        <v>2375</v>
      </c>
      <c r="AU227" t="s">
        <v>123</v>
      </c>
      <c r="AV227">
        <v>66</v>
      </c>
      <c r="AW227">
        <v>191</v>
      </c>
      <c r="AX227">
        <v>-320</v>
      </c>
      <c r="AZ227">
        <f t="shared" si="36"/>
        <v>4356</v>
      </c>
      <c r="BA227">
        <f t="shared" si="37"/>
        <v>36481</v>
      </c>
      <c r="BB227" s="1">
        <f t="shared" si="38"/>
        <v>202.08166665979377</v>
      </c>
      <c r="BJ227">
        <v>1404</v>
      </c>
      <c r="BK227">
        <v>1</v>
      </c>
      <c r="BL227" t="str">
        <f t="shared" si="32"/>
        <v xml:space="preserve">N600C   </v>
      </c>
      <c r="BM227">
        <v>2</v>
      </c>
      <c r="BO227">
        <v>0</v>
      </c>
      <c r="BP227">
        <v>0</v>
      </c>
      <c r="BQ227">
        <v>0</v>
      </c>
      <c r="BR227">
        <v>2575</v>
      </c>
      <c r="BS227">
        <v>200</v>
      </c>
      <c r="BT227" t="s">
        <v>128</v>
      </c>
      <c r="BU227">
        <v>0</v>
      </c>
      <c r="BV227">
        <v>0</v>
      </c>
      <c r="BW227">
        <v>0</v>
      </c>
      <c r="BX227">
        <v>1</v>
      </c>
      <c r="CA227">
        <v>0</v>
      </c>
      <c r="CB227">
        <v>0</v>
      </c>
      <c r="CC227">
        <v>0</v>
      </c>
      <c r="CM227" t="str">
        <f>"17:44:16.120"</f>
        <v>17:44:16.120</v>
      </c>
      <c r="CN227">
        <v>119524986</v>
      </c>
      <c r="CQ227">
        <v>0</v>
      </c>
      <c r="CR227">
        <v>2496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3</v>
      </c>
      <c r="DB227">
        <v>2</v>
      </c>
      <c r="DC227">
        <v>0</v>
      </c>
      <c r="DD227">
        <v>2</v>
      </c>
      <c r="DE227">
        <v>0</v>
      </c>
      <c r="DF227">
        <v>7</v>
      </c>
      <c r="DG227">
        <v>7</v>
      </c>
      <c r="DH227" t="s">
        <v>124</v>
      </c>
      <c r="DI227">
        <v>71</v>
      </c>
      <c r="DJ227">
        <v>1</v>
      </c>
      <c r="DK227" t="s">
        <v>134</v>
      </c>
      <c r="DL227" t="s">
        <v>135</v>
      </c>
      <c r="DO227">
        <v>11423178</v>
      </c>
      <c r="DQ227">
        <v>0</v>
      </c>
      <c r="DR227">
        <v>0</v>
      </c>
      <c r="DS227">
        <v>1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</row>
    <row r="228" spans="1:131" x14ac:dyDescent="0.35">
      <c r="A228" s="2" t="str">
        <f>"17:44:17.287"</f>
        <v>17:44:17.287</v>
      </c>
      <c r="B228" s="4">
        <f t="shared" si="39"/>
        <v>63857.286999999997</v>
      </c>
      <c r="C228" s="4">
        <f t="shared" si="33"/>
        <v>257.28699999999662</v>
      </c>
      <c r="D228" s="3">
        <f t="shared" si="34"/>
        <v>0.73908896990740736</v>
      </c>
      <c r="E228" s="2">
        <f t="shared" si="35"/>
        <v>0.73908896990740736</v>
      </c>
      <c r="G228" t="str">
        <f t="shared" si="30"/>
        <v>FFDFD7C0</v>
      </c>
      <c r="H228" t="s">
        <v>126</v>
      </c>
      <c r="I228">
        <v>8</v>
      </c>
      <c r="J228">
        <v>1008</v>
      </c>
      <c r="K228" t="s">
        <v>129</v>
      </c>
      <c r="N228" t="s">
        <v>127</v>
      </c>
      <c r="O228">
        <v>0</v>
      </c>
      <c r="P228">
        <v>3</v>
      </c>
      <c r="Q228">
        <v>0</v>
      </c>
      <c r="R228">
        <v>2</v>
      </c>
      <c r="S228">
        <v>1</v>
      </c>
      <c r="T228">
        <v>0</v>
      </c>
      <c r="U228">
        <v>0</v>
      </c>
      <c r="W228" t="str">
        <f>"17:44:17.016"</f>
        <v>17:44:17.016</v>
      </c>
      <c r="X228" t="str">
        <f>"17:44:16.816"</f>
        <v>17:44:16.816</v>
      </c>
      <c r="Y228" t="str">
        <f t="shared" si="31"/>
        <v>A7C771</v>
      </c>
      <c r="Z228">
        <v>0</v>
      </c>
      <c r="AA228">
        <v>0</v>
      </c>
      <c r="AB228">
        <v>2</v>
      </c>
      <c r="AC228">
        <v>0</v>
      </c>
      <c r="AE228">
        <v>0</v>
      </c>
      <c r="AF228">
        <v>8</v>
      </c>
      <c r="AG228">
        <v>3</v>
      </c>
      <c r="AH228">
        <v>0</v>
      </c>
      <c r="AI228">
        <v>9</v>
      </c>
      <c r="AJ228" t="s">
        <v>125</v>
      </c>
      <c r="AK228">
        <v>0</v>
      </c>
      <c r="AL228">
        <v>3</v>
      </c>
      <c r="AM228">
        <v>2</v>
      </c>
      <c r="AN228">
        <v>1</v>
      </c>
      <c r="AO228" t="s">
        <v>591</v>
      </c>
      <c r="AP228">
        <v>42.906032000000003</v>
      </c>
      <c r="AQ228" t="s">
        <v>592</v>
      </c>
      <c r="AR228">
        <v>-77.588774999999998</v>
      </c>
      <c r="AS228">
        <v>25</v>
      </c>
      <c r="AT228">
        <v>2375</v>
      </c>
      <c r="AU228" t="s">
        <v>123</v>
      </c>
      <c r="AV228">
        <v>64</v>
      </c>
      <c r="AW228">
        <v>191</v>
      </c>
      <c r="AX228">
        <v>-384</v>
      </c>
      <c r="AZ228">
        <f t="shared" si="36"/>
        <v>4096</v>
      </c>
      <c r="BA228">
        <f t="shared" si="37"/>
        <v>36481</v>
      </c>
      <c r="BB228" s="1">
        <f t="shared" si="38"/>
        <v>201.43733516902967</v>
      </c>
      <c r="BJ228">
        <v>1404</v>
      </c>
      <c r="BK228">
        <v>1</v>
      </c>
      <c r="BL228" t="str">
        <f t="shared" si="32"/>
        <v xml:space="preserve">N600C   </v>
      </c>
      <c r="BM228">
        <v>2</v>
      </c>
      <c r="BO228">
        <v>0</v>
      </c>
      <c r="BP228">
        <v>0</v>
      </c>
      <c r="BQ228">
        <v>0</v>
      </c>
      <c r="BR228">
        <v>2550</v>
      </c>
      <c r="BS228">
        <v>175</v>
      </c>
      <c r="BT228" t="s">
        <v>128</v>
      </c>
      <c r="BU228">
        <v>0</v>
      </c>
      <c r="BV228">
        <v>0</v>
      </c>
      <c r="BW228">
        <v>0</v>
      </c>
      <c r="BX228">
        <v>1</v>
      </c>
      <c r="CA228">
        <v>0</v>
      </c>
      <c r="CB228">
        <v>0</v>
      </c>
      <c r="CC228">
        <v>0</v>
      </c>
      <c r="CM228" t="str">
        <f>"17:44:17.016"</f>
        <v>17:44:17.016</v>
      </c>
      <c r="CN228">
        <v>15685268</v>
      </c>
      <c r="CQ228">
        <v>0</v>
      </c>
      <c r="CR228">
        <v>2496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3</v>
      </c>
      <c r="DB228">
        <v>2</v>
      </c>
      <c r="DC228">
        <v>0</v>
      </c>
      <c r="DD228">
        <v>2</v>
      </c>
      <c r="DE228">
        <v>0</v>
      </c>
      <c r="DF228">
        <v>7</v>
      </c>
      <c r="DG228">
        <v>7</v>
      </c>
      <c r="DH228" t="s">
        <v>124</v>
      </c>
      <c r="DI228">
        <v>71</v>
      </c>
      <c r="DJ228">
        <v>1</v>
      </c>
      <c r="DK228" t="s">
        <v>134</v>
      </c>
      <c r="DL228" t="s">
        <v>135</v>
      </c>
      <c r="DO228">
        <v>11424012</v>
      </c>
      <c r="DQ228">
        <v>0</v>
      </c>
      <c r="DR228">
        <v>0</v>
      </c>
      <c r="DS228">
        <v>1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</row>
    <row r="229" spans="1:131" x14ac:dyDescent="0.35">
      <c r="A229" s="2" t="str">
        <f>"17:44:18.287"</f>
        <v>17:44:18.287</v>
      </c>
      <c r="B229" s="4">
        <f t="shared" si="39"/>
        <v>63858.286999999989</v>
      </c>
      <c r="C229" s="4">
        <f t="shared" si="33"/>
        <v>258.28699999998935</v>
      </c>
      <c r="D229" s="3">
        <f t="shared" si="34"/>
        <v>0.73910054398148139</v>
      </c>
      <c r="E229" s="2">
        <f t="shared" si="35"/>
        <v>0.73910054398148139</v>
      </c>
      <c r="G229" t="str">
        <f t="shared" si="30"/>
        <v>FFDFD7C0</v>
      </c>
      <c r="H229" t="s">
        <v>126</v>
      </c>
      <c r="I229">
        <v>8</v>
      </c>
      <c r="J229">
        <v>1008</v>
      </c>
      <c r="K229" t="s">
        <v>129</v>
      </c>
      <c r="N229" t="s">
        <v>127</v>
      </c>
      <c r="O229">
        <v>0</v>
      </c>
      <c r="P229">
        <v>3</v>
      </c>
      <c r="Q229">
        <v>0</v>
      </c>
      <c r="R229">
        <v>2</v>
      </c>
      <c r="S229">
        <v>1</v>
      </c>
      <c r="T229">
        <v>0</v>
      </c>
      <c r="U229">
        <v>0</v>
      </c>
      <c r="W229" t="str">
        <f>"17:44:17.969"</f>
        <v>17:44:17.969</v>
      </c>
      <c r="X229" t="str">
        <f>"17:44:17.869"</f>
        <v>17:44:17.869</v>
      </c>
      <c r="Y229" t="str">
        <f t="shared" si="31"/>
        <v>A7C771</v>
      </c>
      <c r="Z229">
        <v>0</v>
      </c>
      <c r="AA229">
        <v>0</v>
      </c>
      <c r="AB229">
        <v>2</v>
      </c>
      <c r="AC229">
        <v>0</v>
      </c>
      <c r="AE229">
        <v>0</v>
      </c>
      <c r="AF229">
        <v>8</v>
      </c>
      <c r="AG229">
        <v>3</v>
      </c>
      <c r="AH229">
        <v>0</v>
      </c>
      <c r="AI229">
        <v>9</v>
      </c>
      <c r="AJ229" t="s">
        <v>125</v>
      </c>
      <c r="AK229">
        <v>0</v>
      </c>
      <c r="AL229">
        <v>3</v>
      </c>
      <c r="AM229">
        <v>2</v>
      </c>
      <c r="AN229">
        <v>1</v>
      </c>
      <c r="AO229" t="s">
        <v>593</v>
      </c>
      <c r="AP229">
        <v>42.906826000000002</v>
      </c>
      <c r="AQ229" t="s">
        <v>594</v>
      </c>
      <c r="AR229">
        <v>-77.588453000000001</v>
      </c>
      <c r="AS229">
        <v>25</v>
      </c>
      <c r="AT229">
        <v>2375</v>
      </c>
      <c r="AU229" t="s">
        <v>123</v>
      </c>
      <c r="AV229">
        <v>62</v>
      </c>
      <c r="AW229">
        <v>192</v>
      </c>
      <c r="AX229">
        <v>-384</v>
      </c>
      <c r="AZ229">
        <f t="shared" si="36"/>
        <v>3844</v>
      </c>
      <c r="BA229">
        <f t="shared" si="37"/>
        <v>36864</v>
      </c>
      <c r="BB229" s="1">
        <f t="shared" si="38"/>
        <v>201.76223630798702</v>
      </c>
      <c r="BJ229">
        <v>1404</v>
      </c>
      <c r="BK229">
        <v>1</v>
      </c>
      <c r="BL229" t="str">
        <f t="shared" si="32"/>
        <v xml:space="preserve">N600C   </v>
      </c>
      <c r="BM229">
        <v>2</v>
      </c>
      <c r="BO229">
        <v>0</v>
      </c>
      <c r="BP229">
        <v>0</v>
      </c>
      <c r="BQ229">
        <v>0</v>
      </c>
      <c r="BR229">
        <v>2550</v>
      </c>
      <c r="BS229">
        <v>175</v>
      </c>
      <c r="BT229" t="s">
        <v>128</v>
      </c>
      <c r="BU229">
        <v>0</v>
      </c>
      <c r="BV229">
        <v>0</v>
      </c>
      <c r="BW229">
        <v>0</v>
      </c>
      <c r="BX229">
        <v>1</v>
      </c>
      <c r="CA229">
        <v>0</v>
      </c>
      <c r="CB229">
        <v>0</v>
      </c>
      <c r="CC229">
        <v>0</v>
      </c>
      <c r="CM229" t="str">
        <f>"17:44:17.976"</f>
        <v>17:44:17.976</v>
      </c>
      <c r="CN229">
        <v>975861360</v>
      </c>
      <c r="CQ229">
        <v>0</v>
      </c>
      <c r="CR229">
        <v>2496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3</v>
      </c>
      <c r="DB229">
        <v>2</v>
      </c>
      <c r="DC229">
        <v>0</v>
      </c>
      <c r="DD229">
        <v>2</v>
      </c>
      <c r="DE229">
        <v>0</v>
      </c>
      <c r="DF229">
        <v>7</v>
      </c>
      <c r="DG229">
        <v>7</v>
      </c>
      <c r="DH229" t="s">
        <v>124</v>
      </c>
      <c r="DI229">
        <v>71</v>
      </c>
      <c r="DJ229">
        <v>1</v>
      </c>
      <c r="DK229" t="s">
        <v>134</v>
      </c>
      <c r="DL229" t="s">
        <v>135</v>
      </c>
      <c r="DO229">
        <v>11424821</v>
      </c>
      <c r="DQ229">
        <v>0</v>
      </c>
      <c r="DR229">
        <v>0</v>
      </c>
      <c r="DS229">
        <v>1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</row>
    <row r="230" spans="1:131" x14ac:dyDescent="0.35">
      <c r="A230" s="2" t="str">
        <f>"17:44:19.349"</f>
        <v>17:44:19.349</v>
      </c>
      <c r="B230" s="4">
        <f t="shared" si="39"/>
        <v>63859.349000000009</v>
      </c>
      <c r="C230" s="4">
        <f t="shared" si="33"/>
        <v>259.34900000000926</v>
      </c>
      <c r="D230" s="3">
        <f t="shared" si="34"/>
        <v>0.73911283564814823</v>
      </c>
      <c r="E230" s="2">
        <f t="shared" si="35"/>
        <v>0.73911283564814823</v>
      </c>
      <c r="G230" t="str">
        <f t="shared" si="30"/>
        <v>FFDFD7C0</v>
      </c>
      <c r="H230" t="s">
        <v>126</v>
      </c>
      <c r="I230">
        <v>8</v>
      </c>
      <c r="J230">
        <v>1008</v>
      </c>
      <c r="K230" t="s">
        <v>129</v>
      </c>
      <c r="N230" t="s">
        <v>127</v>
      </c>
      <c r="O230">
        <v>0</v>
      </c>
      <c r="P230">
        <v>3</v>
      </c>
      <c r="Q230">
        <v>0</v>
      </c>
      <c r="R230">
        <v>2</v>
      </c>
      <c r="S230">
        <v>1</v>
      </c>
      <c r="T230">
        <v>0</v>
      </c>
      <c r="U230">
        <v>0</v>
      </c>
      <c r="W230" t="str">
        <f>"17:44:19.063"</f>
        <v>17:44:19.063</v>
      </c>
      <c r="X230" t="str">
        <f>"17:44:18.963"</f>
        <v>17:44:18.963</v>
      </c>
      <c r="Y230" t="str">
        <f t="shared" si="31"/>
        <v>A7C771</v>
      </c>
      <c r="Z230">
        <v>0</v>
      </c>
      <c r="AA230">
        <v>0</v>
      </c>
      <c r="AB230">
        <v>2</v>
      </c>
      <c r="AC230">
        <v>0</v>
      </c>
      <c r="AE230">
        <v>0</v>
      </c>
      <c r="AF230">
        <v>8</v>
      </c>
      <c r="AG230">
        <v>3</v>
      </c>
      <c r="AH230">
        <v>0</v>
      </c>
      <c r="AI230">
        <v>9</v>
      </c>
      <c r="AJ230" t="s">
        <v>125</v>
      </c>
      <c r="AK230">
        <v>0</v>
      </c>
      <c r="AL230">
        <v>3</v>
      </c>
      <c r="AM230">
        <v>2</v>
      </c>
      <c r="AN230">
        <v>1</v>
      </c>
      <c r="AO230" t="s">
        <v>595</v>
      </c>
      <c r="AP230">
        <v>42.907812999999997</v>
      </c>
      <c r="AQ230" t="s">
        <v>596</v>
      </c>
      <c r="AR230">
        <v>-77.588066999999995</v>
      </c>
      <c r="AS230">
        <v>25</v>
      </c>
      <c r="AT230">
        <v>2350</v>
      </c>
      <c r="AU230" t="s">
        <v>123</v>
      </c>
      <c r="AV230">
        <v>59</v>
      </c>
      <c r="AW230">
        <v>192</v>
      </c>
      <c r="AX230">
        <v>-512</v>
      </c>
      <c r="AZ230">
        <f t="shared" si="36"/>
        <v>3481</v>
      </c>
      <c r="BA230">
        <f t="shared" si="37"/>
        <v>36864</v>
      </c>
      <c r="BB230" s="1">
        <f t="shared" si="38"/>
        <v>200.8606482116395</v>
      </c>
      <c r="BJ230">
        <v>1404</v>
      </c>
      <c r="BK230">
        <v>1</v>
      </c>
      <c r="BL230" t="str">
        <f t="shared" si="32"/>
        <v xml:space="preserve">N600C   </v>
      </c>
      <c r="BM230">
        <v>2</v>
      </c>
      <c r="BO230">
        <v>0</v>
      </c>
      <c r="BP230">
        <v>0</v>
      </c>
      <c r="BQ230">
        <v>0</v>
      </c>
      <c r="BR230">
        <v>2550</v>
      </c>
      <c r="BS230">
        <v>200</v>
      </c>
      <c r="BT230" t="s">
        <v>128</v>
      </c>
      <c r="BU230">
        <v>0</v>
      </c>
      <c r="BV230">
        <v>0</v>
      </c>
      <c r="BW230">
        <v>0</v>
      </c>
      <c r="BX230">
        <v>1</v>
      </c>
      <c r="CA230">
        <v>0</v>
      </c>
      <c r="CB230">
        <v>0</v>
      </c>
      <c r="CC230">
        <v>0</v>
      </c>
      <c r="CM230" t="str">
        <f>"17:44:19.064"</f>
        <v>17:44:19.064</v>
      </c>
      <c r="CN230">
        <v>64059660</v>
      </c>
      <c r="CQ230">
        <v>0</v>
      </c>
      <c r="CR230">
        <v>2496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3</v>
      </c>
      <c r="DB230">
        <v>2</v>
      </c>
      <c r="DC230">
        <v>0</v>
      </c>
      <c r="DD230">
        <v>2</v>
      </c>
      <c r="DE230">
        <v>0</v>
      </c>
      <c r="DF230">
        <v>7</v>
      </c>
      <c r="DG230">
        <v>7</v>
      </c>
      <c r="DH230" t="s">
        <v>124</v>
      </c>
      <c r="DI230">
        <v>71</v>
      </c>
      <c r="DJ230">
        <v>1</v>
      </c>
      <c r="DK230" t="s">
        <v>134</v>
      </c>
      <c r="DL230" t="s">
        <v>135</v>
      </c>
      <c r="DO230">
        <v>11425727</v>
      </c>
      <c r="DQ230">
        <v>0</v>
      </c>
      <c r="DR230">
        <v>0</v>
      </c>
      <c r="DS230">
        <v>1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</row>
    <row r="231" spans="1:131" x14ac:dyDescent="0.35">
      <c r="A231" s="2" t="str">
        <f>"17:44:20.396"</f>
        <v>17:44:20.396</v>
      </c>
      <c r="B231" s="4">
        <f t="shared" si="39"/>
        <v>63860.396000000001</v>
      </c>
      <c r="C231" s="4">
        <f t="shared" si="33"/>
        <v>260.39600000000064</v>
      </c>
      <c r="D231" s="3">
        <f t="shared" si="34"/>
        <v>0.73912495370370368</v>
      </c>
      <c r="E231" s="2">
        <f t="shared" si="35"/>
        <v>0.73912495370370368</v>
      </c>
      <c r="G231" t="str">
        <f t="shared" si="30"/>
        <v>FFDFD7C0</v>
      </c>
      <c r="H231" t="s">
        <v>126</v>
      </c>
      <c r="I231">
        <v>8</v>
      </c>
      <c r="J231">
        <v>1008</v>
      </c>
      <c r="K231" t="s">
        <v>129</v>
      </c>
      <c r="N231" t="s">
        <v>127</v>
      </c>
      <c r="O231">
        <v>0</v>
      </c>
      <c r="P231">
        <v>3</v>
      </c>
      <c r="Q231">
        <v>0</v>
      </c>
      <c r="R231">
        <v>2</v>
      </c>
      <c r="S231">
        <v>1</v>
      </c>
      <c r="T231">
        <v>0</v>
      </c>
      <c r="U231">
        <v>0</v>
      </c>
      <c r="W231" t="str">
        <f>"17:44:20.141"</f>
        <v>17:44:20.141</v>
      </c>
      <c r="X231" t="str">
        <f>"17:44:20.041"</f>
        <v>17:44:20.041</v>
      </c>
      <c r="Y231" t="str">
        <f t="shared" si="31"/>
        <v>A7C771</v>
      </c>
      <c r="Z231">
        <v>0</v>
      </c>
      <c r="AA231">
        <v>0</v>
      </c>
      <c r="AB231">
        <v>2</v>
      </c>
      <c r="AC231">
        <v>0</v>
      </c>
      <c r="AE231">
        <v>0</v>
      </c>
      <c r="AF231">
        <v>8</v>
      </c>
      <c r="AG231">
        <v>3</v>
      </c>
      <c r="AH231">
        <v>0</v>
      </c>
      <c r="AI231">
        <v>9</v>
      </c>
      <c r="AJ231" t="s">
        <v>125</v>
      </c>
      <c r="AK231">
        <v>0</v>
      </c>
      <c r="AL231">
        <v>3</v>
      </c>
      <c r="AM231">
        <v>2</v>
      </c>
      <c r="AN231">
        <v>1</v>
      </c>
      <c r="AO231" t="s">
        <v>597</v>
      </c>
      <c r="AP231">
        <v>42.908799999999999</v>
      </c>
      <c r="AQ231" t="s">
        <v>598</v>
      </c>
      <c r="AR231">
        <v>-77.587681000000003</v>
      </c>
      <c r="AS231">
        <v>25</v>
      </c>
      <c r="AT231">
        <v>2350</v>
      </c>
      <c r="AU231" t="s">
        <v>123</v>
      </c>
      <c r="AV231">
        <v>57</v>
      </c>
      <c r="AW231">
        <v>193</v>
      </c>
      <c r="AX231">
        <v>-576</v>
      </c>
      <c r="AZ231">
        <f t="shared" si="36"/>
        <v>3249</v>
      </c>
      <c r="BA231">
        <f t="shared" si="37"/>
        <v>37249</v>
      </c>
      <c r="BB231" s="1">
        <f t="shared" si="38"/>
        <v>201.24114887368339</v>
      </c>
      <c r="BJ231">
        <v>1404</v>
      </c>
      <c r="BK231">
        <v>1</v>
      </c>
      <c r="BL231" t="str">
        <f t="shared" si="32"/>
        <v xml:space="preserve">N600C   </v>
      </c>
      <c r="BM231">
        <v>2</v>
      </c>
      <c r="BO231">
        <v>0</v>
      </c>
      <c r="BP231">
        <v>0</v>
      </c>
      <c r="BQ231">
        <v>0</v>
      </c>
      <c r="BR231">
        <v>2525</v>
      </c>
      <c r="BS231">
        <v>175</v>
      </c>
      <c r="BT231" t="s">
        <v>128</v>
      </c>
      <c r="BU231">
        <v>0</v>
      </c>
      <c r="BV231">
        <v>0</v>
      </c>
      <c r="BW231">
        <v>0</v>
      </c>
      <c r="BX231">
        <v>1</v>
      </c>
      <c r="CA231">
        <v>0</v>
      </c>
      <c r="CB231">
        <v>0</v>
      </c>
      <c r="CC231">
        <v>0</v>
      </c>
      <c r="CM231" t="str">
        <f>"17:44:20.144"</f>
        <v>17:44:20.144</v>
      </c>
      <c r="CN231">
        <v>144261533</v>
      </c>
      <c r="CQ231">
        <v>0</v>
      </c>
      <c r="CR231">
        <v>2496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3</v>
      </c>
      <c r="DB231">
        <v>2</v>
      </c>
      <c r="DC231">
        <v>0</v>
      </c>
      <c r="DD231">
        <v>2</v>
      </c>
      <c r="DE231">
        <v>0</v>
      </c>
      <c r="DF231">
        <v>7</v>
      </c>
      <c r="DG231">
        <v>7</v>
      </c>
      <c r="DH231" t="s">
        <v>124</v>
      </c>
      <c r="DI231">
        <v>71</v>
      </c>
      <c r="DJ231">
        <v>1</v>
      </c>
      <c r="DK231" t="s">
        <v>134</v>
      </c>
      <c r="DL231" t="s">
        <v>135</v>
      </c>
      <c r="DO231">
        <v>11426633</v>
      </c>
      <c r="DQ231">
        <v>0</v>
      </c>
      <c r="DR231">
        <v>0</v>
      </c>
      <c r="DS231">
        <v>1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</row>
    <row r="232" spans="1:131" x14ac:dyDescent="0.35">
      <c r="A232" s="2" t="str">
        <f>"17:44:21.521"</f>
        <v>17:44:21.521</v>
      </c>
      <c r="B232" s="4">
        <f t="shared" si="39"/>
        <v>63861.520999999993</v>
      </c>
      <c r="C232" s="4">
        <f t="shared" si="33"/>
        <v>261.52099999999336</v>
      </c>
      <c r="D232" s="3">
        <f t="shared" si="34"/>
        <v>0.739137974537037</v>
      </c>
      <c r="E232" s="2">
        <f t="shared" si="35"/>
        <v>0.739137974537037</v>
      </c>
      <c r="G232" t="str">
        <f t="shared" si="30"/>
        <v>FFDFD7C0</v>
      </c>
      <c r="H232" t="s">
        <v>126</v>
      </c>
      <c r="I232">
        <v>8</v>
      </c>
      <c r="J232">
        <v>1008</v>
      </c>
      <c r="K232" t="s">
        <v>129</v>
      </c>
      <c r="N232" t="s">
        <v>127</v>
      </c>
      <c r="O232">
        <v>0</v>
      </c>
      <c r="P232">
        <v>3</v>
      </c>
      <c r="Q232">
        <v>0</v>
      </c>
      <c r="R232">
        <v>2</v>
      </c>
      <c r="S232">
        <v>1</v>
      </c>
      <c r="T232">
        <v>0</v>
      </c>
      <c r="U232">
        <v>0</v>
      </c>
      <c r="W232" t="str">
        <f>"17:44:21.102"</f>
        <v>17:44:21.102</v>
      </c>
      <c r="X232" t="str">
        <f>"17:44:21.102"</f>
        <v>17:44:21.102</v>
      </c>
      <c r="Y232" t="str">
        <f t="shared" si="31"/>
        <v>A7C771</v>
      </c>
      <c r="Z232">
        <v>0</v>
      </c>
      <c r="AA232">
        <v>0</v>
      </c>
      <c r="AB232">
        <v>2</v>
      </c>
      <c r="AC232">
        <v>0</v>
      </c>
      <c r="AE232">
        <v>0</v>
      </c>
      <c r="AF232">
        <v>8</v>
      </c>
      <c r="AG232">
        <v>3</v>
      </c>
      <c r="AH232">
        <v>0</v>
      </c>
      <c r="AI232">
        <v>9</v>
      </c>
      <c r="AJ232" t="s">
        <v>125</v>
      </c>
      <c r="AK232">
        <v>0</v>
      </c>
      <c r="AL232">
        <v>3</v>
      </c>
      <c r="AM232">
        <v>2</v>
      </c>
      <c r="AN232">
        <v>1</v>
      </c>
      <c r="AO232" t="s">
        <v>599</v>
      </c>
      <c r="AP232">
        <v>42.909658</v>
      </c>
      <c r="AQ232" t="s">
        <v>600</v>
      </c>
      <c r="AR232">
        <v>-77.587359000000006</v>
      </c>
      <c r="AS232">
        <v>25</v>
      </c>
      <c r="AT232">
        <v>2350</v>
      </c>
      <c r="AU232" t="s">
        <v>123</v>
      </c>
      <c r="AV232">
        <v>54</v>
      </c>
      <c r="AW232">
        <v>193</v>
      </c>
      <c r="AX232">
        <v>-576</v>
      </c>
      <c r="AZ232">
        <f t="shared" si="36"/>
        <v>2916</v>
      </c>
      <c r="BA232">
        <f t="shared" si="37"/>
        <v>37249</v>
      </c>
      <c r="BB232" s="1">
        <f t="shared" si="38"/>
        <v>200.4120754844877</v>
      </c>
      <c r="BJ232">
        <v>1404</v>
      </c>
      <c r="BK232">
        <v>1</v>
      </c>
      <c r="BL232" t="str">
        <f t="shared" si="32"/>
        <v xml:space="preserve">N600C   </v>
      </c>
      <c r="BM232">
        <v>2</v>
      </c>
      <c r="BO232">
        <v>0</v>
      </c>
      <c r="BP232">
        <v>0</v>
      </c>
      <c r="BQ232">
        <v>0</v>
      </c>
      <c r="BR232">
        <v>2525</v>
      </c>
      <c r="BS232">
        <v>175</v>
      </c>
      <c r="BT232" t="s">
        <v>128</v>
      </c>
      <c r="BU232">
        <v>0</v>
      </c>
      <c r="BV232">
        <v>0</v>
      </c>
      <c r="BW232">
        <v>0</v>
      </c>
      <c r="BX232">
        <v>1</v>
      </c>
      <c r="CA232">
        <v>0</v>
      </c>
      <c r="CB232">
        <v>0</v>
      </c>
      <c r="CC232">
        <v>0</v>
      </c>
      <c r="CM232" t="str">
        <f>"17:44:21.104"</f>
        <v>17:44:21.104</v>
      </c>
      <c r="CN232">
        <v>104433267</v>
      </c>
      <c r="CQ232">
        <v>0</v>
      </c>
      <c r="CR232">
        <v>2496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3</v>
      </c>
      <c r="DB232">
        <v>2</v>
      </c>
      <c r="DC232">
        <v>0</v>
      </c>
      <c r="DD232">
        <v>2</v>
      </c>
      <c r="DE232">
        <v>0</v>
      </c>
      <c r="DF232">
        <v>7</v>
      </c>
      <c r="DG232">
        <v>7</v>
      </c>
      <c r="DH232" t="s">
        <v>124</v>
      </c>
      <c r="DI232">
        <v>71</v>
      </c>
      <c r="DJ232">
        <v>1</v>
      </c>
      <c r="DK232" t="s">
        <v>134</v>
      </c>
      <c r="DL232" t="s">
        <v>135</v>
      </c>
      <c r="DO232">
        <v>11427525</v>
      </c>
      <c r="DQ232">
        <v>0</v>
      </c>
      <c r="DR232">
        <v>0</v>
      </c>
      <c r="DS232">
        <v>1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</row>
    <row r="233" spans="1:131" x14ac:dyDescent="0.35">
      <c r="A233" s="2" t="str">
        <f>"17:44:22.427"</f>
        <v>17:44:22.427</v>
      </c>
      <c r="B233" s="4">
        <f t="shared" si="39"/>
        <v>63862.427000000003</v>
      </c>
      <c r="C233" s="4">
        <f t="shared" si="33"/>
        <v>262.42700000000332</v>
      </c>
      <c r="D233" s="3">
        <f t="shared" si="34"/>
        <v>0.73914846064814821</v>
      </c>
      <c r="E233" s="2">
        <f t="shared" si="35"/>
        <v>0.73914846064814821</v>
      </c>
      <c r="G233" t="str">
        <f t="shared" si="30"/>
        <v>FFDFD7C0</v>
      </c>
      <c r="H233" t="s">
        <v>126</v>
      </c>
      <c r="I233">
        <v>8</v>
      </c>
      <c r="J233">
        <v>1008</v>
      </c>
      <c r="K233" t="s">
        <v>129</v>
      </c>
      <c r="N233" t="s">
        <v>127</v>
      </c>
      <c r="O233">
        <v>0</v>
      </c>
      <c r="P233">
        <v>3</v>
      </c>
      <c r="Q233">
        <v>0</v>
      </c>
      <c r="R233">
        <v>2</v>
      </c>
      <c r="S233">
        <v>1</v>
      </c>
      <c r="T233">
        <v>0</v>
      </c>
      <c r="U233">
        <v>0</v>
      </c>
      <c r="W233" t="str">
        <f>"17:44:22.078"</f>
        <v>17:44:22.078</v>
      </c>
      <c r="X233" t="str">
        <f>"17:44:22.078"</f>
        <v>17:44:22.078</v>
      </c>
      <c r="Y233" t="str">
        <f t="shared" si="31"/>
        <v>A7C771</v>
      </c>
      <c r="Z233">
        <v>0</v>
      </c>
      <c r="AA233">
        <v>0</v>
      </c>
      <c r="AB233">
        <v>2</v>
      </c>
      <c r="AC233">
        <v>0</v>
      </c>
      <c r="AE233">
        <v>0</v>
      </c>
      <c r="AF233">
        <v>8</v>
      </c>
      <c r="AG233">
        <v>3</v>
      </c>
      <c r="AH233">
        <v>0</v>
      </c>
      <c r="AI233">
        <v>9</v>
      </c>
      <c r="AJ233" t="s">
        <v>125</v>
      </c>
      <c r="AK233">
        <v>0</v>
      </c>
      <c r="AL233">
        <v>3</v>
      </c>
      <c r="AM233">
        <v>2</v>
      </c>
      <c r="AN233">
        <v>1</v>
      </c>
      <c r="AO233" t="s">
        <v>601</v>
      </c>
      <c r="AP233">
        <v>42.910494999999997</v>
      </c>
      <c r="AQ233" t="s">
        <v>602</v>
      </c>
      <c r="AR233">
        <v>-77.58708</v>
      </c>
      <c r="AS233">
        <v>25</v>
      </c>
      <c r="AT233">
        <v>2325</v>
      </c>
      <c r="AU233" t="s">
        <v>123</v>
      </c>
      <c r="AV233">
        <v>52</v>
      </c>
      <c r="AW233">
        <v>193</v>
      </c>
      <c r="AX233">
        <v>-512</v>
      </c>
      <c r="AZ233">
        <f t="shared" si="36"/>
        <v>2704</v>
      </c>
      <c r="BA233">
        <f t="shared" si="37"/>
        <v>37249</v>
      </c>
      <c r="BB233" s="1">
        <f t="shared" si="38"/>
        <v>199.88246546408217</v>
      </c>
      <c r="BJ233">
        <v>1404</v>
      </c>
      <c r="BK233">
        <v>1</v>
      </c>
      <c r="BL233" t="str">
        <f t="shared" si="32"/>
        <v xml:space="preserve">N600C   </v>
      </c>
      <c r="BM233">
        <v>2</v>
      </c>
      <c r="BO233">
        <v>0</v>
      </c>
      <c r="BP233">
        <v>0</v>
      </c>
      <c r="BQ233">
        <v>0</v>
      </c>
      <c r="BR233">
        <v>2500</v>
      </c>
      <c r="BS233">
        <v>175</v>
      </c>
      <c r="BT233" t="s">
        <v>128</v>
      </c>
      <c r="BU233">
        <v>0</v>
      </c>
      <c r="BV233">
        <v>0</v>
      </c>
      <c r="BW233">
        <v>0</v>
      </c>
      <c r="BX233">
        <v>1</v>
      </c>
      <c r="CA233">
        <v>0</v>
      </c>
      <c r="CB233">
        <v>0</v>
      </c>
      <c r="CC233">
        <v>0</v>
      </c>
      <c r="CM233" t="str">
        <f>"17:44:22.081"</f>
        <v>17:44:22.081</v>
      </c>
      <c r="CN233">
        <v>80601697</v>
      </c>
      <c r="CQ233">
        <v>0</v>
      </c>
      <c r="CR233">
        <v>2496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3</v>
      </c>
      <c r="DB233">
        <v>2</v>
      </c>
      <c r="DC233">
        <v>0</v>
      </c>
      <c r="DD233">
        <v>2</v>
      </c>
      <c r="DE233">
        <v>0</v>
      </c>
      <c r="DF233">
        <v>7</v>
      </c>
      <c r="DG233">
        <v>7</v>
      </c>
      <c r="DH233" t="s">
        <v>124</v>
      </c>
      <c r="DI233">
        <v>71</v>
      </c>
      <c r="DJ233">
        <v>1</v>
      </c>
      <c r="DK233" t="s">
        <v>134</v>
      </c>
      <c r="DL233" t="s">
        <v>135</v>
      </c>
      <c r="DO233">
        <v>11428542</v>
      </c>
      <c r="DQ233">
        <v>0</v>
      </c>
      <c r="DR233">
        <v>0</v>
      </c>
      <c r="DS233">
        <v>1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</row>
    <row r="234" spans="1:131" x14ac:dyDescent="0.35">
      <c r="A234" s="2" t="str">
        <f>"17:44:23.271"</f>
        <v>17:44:23.271</v>
      </c>
      <c r="B234" s="4">
        <f t="shared" si="39"/>
        <v>63863.270999999993</v>
      </c>
      <c r="C234" s="4">
        <f t="shared" si="33"/>
        <v>263.27099999999336</v>
      </c>
      <c r="D234" s="3">
        <f t="shared" si="34"/>
        <v>0.73915822916666662</v>
      </c>
      <c r="E234" s="2">
        <f t="shared" si="35"/>
        <v>0.73915822916666662</v>
      </c>
      <c r="G234" t="str">
        <f t="shared" si="30"/>
        <v>FFDFD7C0</v>
      </c>
      <c r="H234" t="s">
        <v>126</v>
      </c>
      <c r="I234">
        <v>8</v>
      </c>
      <c r="J234">
        <v>1008</v>
      </c>
      <c r="K234" t="s">
        <v>129</v>
      </c>
      <c r="N234" t="s">
        <v>127</v>
      </c>
      <c r="O234">
        <v>0</v>
      </c>
      <c r="P234">
        <v>3</v>
      </c>
      <c r="Q234">
        <v>0</v>
      </c>
      <c r="R234">
        <v>2</v>
      </c>
      <c r="S234">
        <v>1</v>
      </c>
      <c r="T234">
        <v>0</v>
      </c>
      <c r="U234">
        <v>0</v>
      </c>
      <c r="W234" t="str">
        <f>"17:44:23.055"</f>
        <v>17:44:23.055</v>
      </c>
      <c r="X234" t="str">
        <f>"17:44:22.655"</f>
        <v>17:44:22.655</v>
      </c>
      <c r="Y234" t="str">
        <f t="shared" si="31"/>
        <v>A7C771</v>
      </c>
      <c r="Z234">
        <v>0</v>
      </c>
      <c r="AA234">
        <v>0</v>
      </c>
      <c r="AB234">
        <v>2</v>
      </c>
      <c r="AC234">
        <v>0</v>
      </c>
      <c r="AE234">
        <v>0</v>
      </c>
      <c r="AF234">
        <v>8</v>
      </c>
      <c r="AG234">
        <v>3</v>
      </c>
      <c r="AH234">
        <v>0</v>
      </c>
      <c r="AI234">
        <v>9</v>
      </c>
      <c r="AJ234" t="s">
        <v>125</v>
      </c>
      <c r="AK234">
        <v>0</v>
      </c>
      <c r="AL234">
        <v>3</v>
      </c>
      <c r="AM234">
        <v>2</v>
      </c>
      <c r="AN234">
        <v>1</v>
      </c>
      <c r="AO234" t="s">
        <v>603</v>
      </c>
      <c r="AP234">
        <v>42.911396000000003</v>
      </c>
      <c r="AQ234" t="s">
        <v>604</v>
      </c>
      <c r="AR234">
        <v>-77.586758000000003</v>
      </c>
      <c r="AS234">
        <v>25</v>
      </c>
      <c r="AT234">
        <v>2325</v>
      </c>
      <c r="AU234" t="s">
        <v>123</v>
      </c>
      <c r="AV234">
        <v>49</v>
      </c>
      <c r="AW234">
        <v>194</v>
      </c>
      <c r="AX234">
        <v>-512</v>
      </c>
      <c r="AZ234">
        <f t="shared" si="36"/>
        <v>2401</v>
      </c>
      <c r="BA234">
        <f t="shared" si="37"/>
        <v>37636</v>
      </c>
      <c r="BB234" s="1">
        <f t="shared" si="38"/>
        <v>200.09247861926244</v>
      </c>
      <c r="BJ234">
        <v>1404</v>
      </c>
      <c r="BK234">
        <v>1</v>
      </c>
      <c r="BL234" t="str">
        <f t="shared" si="32"/>
        <v xml:space="preserve">N600C   </v>
      </c>
      <c r="BM234">
        <v>2</v>
      </c>
      <c r="BO234">
        <v>0</v>
      </c>
      <c r="BP234">
        <v>0</v>
      </c>
      <c r="BQ234">
        <v>0</v>
      </c>
      <c r="BR234">
        <v>2500</v>
      </c>
      <c r="BS234">
        <v>175</v>
      </c>
      <c r="BT234" t="s">
        <v>128</v>
      </c>
      <c r="BU234">
        <v>0</v>
      </c>
      <c r="BV234">
        <v>0</v>
      </c>
      <c r="BW234">
        <v>0</v>
      </c>
      <c r="BX234">
        <v>1</v>
      </c>
      <c r="CA234">
        <v>0</v>
      </c>
      <c r="CB234">
        <v>0</v>
      </c>
      <c r="CC234">
        <v>0</v>
      </c>
      <c r="CM234" t="str">
        <f>"17:44:23.057"</f>
        <v>17:44:23.057</v>
      </c>
      <c r="CN234">
        <v>56775074</v>
      </c>
      <c r="CQ234">
        <v>0</v>
      </c>
      <c r="CR234">
        <v>2496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3</v>
      </c>
      <c r="DB234">
        <v>2</v>
      </c>
      <c r="DC234">
        <v>0</v>
      </c>
      <c r="DD234">
        <v>2</v>
      </c>
      <c r="DE234">
        <v>0</v>
      </c>
      <c r="DF234">
        <v>7</v>
      </c>
      <c r="DG234">
        <v>7</v>
      </c>
      <c r="DH234" t="s">
        <v>124</v>
      </c>
      <c r="DI234">
        <v>71</v>
      </c>
      <c r="DJ234">
        <v>1</v>
      </c>
      <c r="DK234" t="s">
        <v>134</v>
      </c>
      <c r="DL234" t="s">
        <v>135</v>
      </c>
      <c r="DO234">
        <v>11429338</v>
      </c>
      <c r="DQ234">
        <v>0</v>
      </c>
      <c r="DR234">
        <v>0</v>
      </c>
      <c r="DS234">
        <v>1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</row>
    <row r="235" spans="1:131" x14ac:dyDescent="0.35">
      <c r="A235" s="2" t="str">
        <f>"17:44:24.490"</f>
        <v>17:44:24.490</v>
      </c>
      <c r="B235" s="4">
        <f t="shared" si="39"/>
        <v>63864.489999999991</v>
      </c>
      <c r="C235" s="4">
        <f t="shared" si="33"/>
        <v>264.48999999999069</v>
      </c>
      <c r="D235" s="3">
        <f t="shared" si="34"/>
        <v>0.73917233796296289</v>
      </c>
      <c r="E235" s="2">
        <f t="shared" si="35"/>
        <v>0.73917233796296289</v>
      </c>
      <c r="G235" t="str">
        <f t="shared" si="30"/>
        <v>FFDFD7C0</v>
      </c>
      <c r="H235" t="s">
        <v>126</v>
      </c>
      <c r="I235">
        <v>8</v>
      </c>
      <c r="J235">
        <v>1008</v>
      </c>
      <c r="K235" t="s">
        <v>129</v>
      </c>
      <c r="N235" t="s">
        <v>127</v>
      </c>
      <c r="O235">
        <v>0</v>
      </c>
      <c r="P235">
        <v>3</v>
      </c>
      <c r="Q235">
        <v>0</v>
      </c>
      <c r="R235">
        <v>2</v>
      </c>
      <c r="S235">
        <v>1</v>
      </c>
      <c r="T235">
        <v>0</v>
      </c>
      <c r="U235">
        <v>0</v>
      </c>
      <c r="W235" t="str">
        <f>"17:44:23.969"</f>
        <v>17:44:23.969</v>
      </c>
      <c r="X235" t="str">
        <f>"17:44:23.769"</f>
        <v>17:44:23.769</v>
      </c>
      <c r="Y235" t="str">
        <f t="shared" si="31"/>
        <v>A7C771</v>
      </c>
      <c r="Z235">
        <v>0</v>
      </c>
      <c r="AA235">
        <v>0</v>
      </c>
      <c r="AB235">
        <v>2</v>
      </c>
      <c r="AC235">
        <v>0</v>
      </c>
      <c r="AE235">
        <v>0</v>
      </c>
      <c r="AF235">
        <v>8</v>
      </c>
      <c r="AG235">
        <v>3</v>
      </c>
      <c r="AH235">
        <v>0</v>
      </c>
      <c r="AI235">
        <v>9</v>
      </c>
      <c r="AJ235" t="s">
        <v>125</v>
      </c>
      <c r="AK235">
        <v>0</v>
      </c>
      <c r="AL235">
        <v>3</v>
      </c>
      <c r="AM235">
        <v>2</v>
      </c>
      <c r="AN235">
        <v>1</v>
      </c>
      <c r="AO235" t="s">
        <v>605</v>
      </c>
      <c r="AP235">
        <v>42.912190000000002</v>
      </c>
      <c r="AQ235" t="s">
        <v>606</v>
      </c>
      <c r="AR235">
        <v>-77.586544000000004</v>
      </c>
      <c r="AS235">
        <v>25</v>
      </c>
      <c r="AT235">
        <v>2325</v>
      </c>
      <c r="AU235" t="s">
        <v>123</v>
      </c>
      <c r="AV235">
        <v>47</v>
      </c>
      <c r="AW235">
        <v>194</v>
      </c>
      <c r="AX235">
        <v>-576</v>
      </c>
      <c r="AZ235">
        <f t="shared" si="36"/>
        <v>2209</v>
      </c>
      <c r="BA235">
        <f t="shared" si="37"/>
        <v>37636</v>
      </c>
      <c r="BB235" s="1">
        <f t="shared" si="38"/>
        <v>199.6121238802894</v>
      </c>
      <c r="BJ235">
        <v>1404</v>
      </c>
      <c r="BK235">
        <v>1</v>
      </c>
      <c r="BL235" t="str">
        <f t="shared" si="32"/>
        <v xml:space="preserve">N600C   </v>
      </c>
      <c r="BM235">
        <v>2</v>
      </c>
      <c r="BO235">
        <v>0</v>
      </c>
      <c r="BP235">
        <v>0</v>
      </c>
      <c r="BQ235">
        <v>0</v>
      </c>
      <c r="BR235">
        <v>2500</v>
      </c>
      <c r="BS235">
        <v>175</v>
      </c>
      <c r="BT235" t="s">
        <v>128</v>
      </c>
      <c r="BU235">
        <v>0</v>
      </c>
      <c r="BV235">
        <v>0</v>
      </c>
      <c r="BW235">
        <v>0</v>
      </c>
      <c r="BX235">
        <v>1</v>
      </c>
      <c r="CA235">
        <v>0</v>
      </c>
      <c r="CB235">
        <v>0</v>
      </c>
      <c r="CC235">
        <v>0</v>
      </c>
      <c r="CM235" t="str">
        <f>"17:44:23.969"</f>
        <v>17:44:23.969</v>
      </c>
      <c r="CN235">
        <v>968941061</v>
      </c>
      <c r="CQ235">
        <v>0</v>
      </c>
      <c r="CR235">
        <v>2496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3</v>
      </c>
      <c r="DB235">
        <v>2</v>
      </c>
      <c r="DC235">
        <v>0</v>
      </c>
      <c r="DD235">
        <v>2</v>
      </c>
      <c r="DE235">
        <v>0</v>
      </c>
      <c r="DF235">
        <v>7</v>
      </c>
      <c r="DG235">
        <v>7</v>
      </c>
      <c r="DH235" t="s">
        <v>124</v>
      </c>
      <c r="DI235">
        <v>71</v>
      </c>
      <c r="DJ235">
        <v>0</v>
      </c>
      <c r="DK235" t="s">
        <v>134</v>
      </c>
      <c r="DL235" t="s">
        <v>135</v>
      </c>
      <c r="DO235">
        <v>10094300</v>
      </c>
      <c r="DQ235">
        <v>0</v>
      </c>
      <c r="DR235">
        <v>0</v>
      </c>
      <c r="DS235">
        <v>1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</row>
    <row r="236" spans="1:131" x14ac:dyDescent="0.35">
      <c r="A236" s="2" t="str">
        <f>"17:44:26.428"</f>
        <v>17:44:26.428</v>
      </c>
      <c r="B236" s="4">
        <f t="shared" si="39"/>
        <v>63866.428</v>
      </c>
      <c r="C236" s="4">
        <f t="shared" si="33"/>
        <v>266.42799999999988</v>
      </c>
      <c r="D236" s="3">
        <f t="shared" si="34"/>
        <v>0.73919476851851851</v>
      </c>
      <c r="E236" s="2">
        <f t="shared" si="35"/>
        <v>0.73919476851851851</v>
      </c>
      <c r="G236" t="str">
        <f t="shared" si="30"/>
        <v>FFDFD7C0</v>
      </c>
      <c r="H236" t="s">
        <v>126</v>
      </c>
      <c r="I236">
        <v>8</v>
      </c>
      <c r="J236">
        <v>1008</v>
      </c>
      <c r="K236" t="s">
        <v>129</v>
      </c>
      <c r="N236" t="s">
        <v>127</v>
      </c>
      <c r="O236">
        <v>0</v>
      </c>
      <c r="P236">
        <v>3</v>
      </c>
      <c r="Q236">
        <v>0</v>
      </c>
      <c r="R236">
        <v>2</v>
      </c>
      <c r="S236">
        <v>1</v>
      </c>
      <c r="T236">
        <v>0</v>
      </c>
      <c r="U236">
        <v>0</v>
      </c>
      <c r="W236" t="str">
        <f>"17:44:25.953"</f>
        <v>17:44:25.953</v>
      </c>
      <c r="X236" t="str">
        <f>"17:44:25.753"</f>
        <v>17:44:25.753</v>
      </c>
      <c r="Y236" t="str">
        <f t="shared" si="31"/>
        <v>A7C771</v>
      </c>
      <c r="Z236">
        <v>0</v>
      </c>
      <c r="AA236">
        <v>0</v>
      </c>
      <c r="AB236">
        <v>2</v>
      </c>
      <c r="AC236">
        <v>0</v>
      </c>
      <c r="AE236">
        <v>0</v>
      </c>
      <c r="AF236">
        <v>8</v>
      </c>
      <c r="AG236">
        <v>3</v>
      </c>
      <c r="AH236">
        <v>0</v>
      </c>
      <c r="AI236">
        <v>9</v>
      </c>
      <c r="AJ236" t="s">
        <v>125</v>
      </c>
      <c r="AK236">
        <v>0</v>
      </c>
      <c r="AL236">
        <v>3</v>
      </c>
      <c r="AM236">
        <v>2</v>
      </c>
      <c r="AN236">
        <v>1</v>
      </c>
      <c r="AO236" t="s">
        <v>607</v>
      </c>
      <c r="AP236">
        <v>42.913970999999997</v>
      </c>
      <c r="AQ236" t="s">
        <v>608</v>
      </c>
      <c r="AR236">
        <v>-77.585964000000004</v>
      </c>
      <c r="AS236">
        <v>25</v>
      </c>
      <c r="AT236">
        <v>2300</v>
      </c>
      <c r="AU236" t="s">
        <v>123</v>
      </c>
      <c r="AV236">
        <v>43</v>
      </c>
      <c r="AW236">
        <v>194</v>
      </c>
      <c r="AX236">
        <v>-384</v>
      </c>
      <c r="AZ236">
        <f t="shared" si="36"/>
        <v>1849</v>
      </c>
      <c r="BA236">
        <f t="shared" si="37"/>
        <v>37636</v>
      </c>
      <c r="BB236" s="1">
        <f t="shared" si="38"/>
        <v>198.70832896484234</v>
      </c>
      <c r="BJ236">
        <v>1404</v>
      </c>
      <c r="BK236">
        <v>1</v>
      </c>
      <c r="BL236" t="str">
        <f t="shared" si="32"/>
        <v xml:space="preserve">N600C   </v>
      </c>
      <c r="BM236">
        <v>2</v>
      </c>
      <c r="BO236">
        <v>0</v>
      </c>
      <c r="BP236">
        <v>0</v>
      </c>
      <c r="BQ236">
        <v>0</v>
      </c>
      <c r="BR236">
        <v>2475</v>
      </c>
      <c r="BS236">
        <v>175</v>
      </c>
      <c r="BT236" t="s">
        <v>128</v>
      </c>
      <c r="BU236">
        <v>0</v>
      </c>
      <c r="BV236">
        <v>0</v>
      </c>
      <c r="BW236">
        <v>0</v>
      </c>
      <c r="BX236">
        <v>1</v>
      </c>
      <c r="CA236">
        <v>0</v>
      </c>
      <c r="CB236">
        <v>0</v>
      </c>
      <c r="CC236">
        <v>0</v>
      </c>
      <c r="CM236" t="str">
        <f>"17:44:25.953"</f>
        <v>17:44:25.953</v>
      </c>
      <c r="CN236">
        <v>953305195</v>
      </c>
      <c r="CQ236">
        <v>0</v>
      </c>
      <c r="CR236">
        <v>2496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3</v>
      </c>
      <c r="DB236">
        <v>2</v>
      </c>
      <c r="DC236">
        <v>0</v>
      </c>
      <c r="DD236">
        <v>2</v>
      </c>
      <c r="DE236">
        <v>0</v>
      </c>
      <c r="DF236">
        <v>7</v>
      </c>
      <c r="DG236">
        <v>7</v>
      </c>
      <c r="DH236" t="s">
        <v>124</v>
      </c>
      <c r="DI236">
        <v>71</v>
      </c>
      <c r="DJ236">
        <v>0</v>
      </c>
      <c r="DK236" t="s">
        <v>134</v>
      </c>
      <c r="DL236" t="s">
        <v>135</v>
      </c>
      <c r="DO236">
        <v>10095700</v>
      </c>
      <c r="DQ236">
        <v>0</v>
      </c>
      <c r="DR236">
        <v>0</v>
      </c>
      <c r="DS236">
        <v>1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</row>
    <row r="237" spans="1:131" x14ac:dyDescent="0.35">
      <c r="A237" s="2" t="str">
        <f>"17:44:27.287"</f>
        <v>17:44:27.287</v>
      </c>
      <c r="B237" s="4">
        <f t="shared" si="39"/>
        <v>63867.286999999997</v>
      </c>
      <c r="C237" s="4">
        <f t="shared" si="33"/>
        <v>267.28699999999662</v>
      </c>
      <c r="D237" s="3">
        <f t="shared" si="34"/>
        <v>0.73920471064814808</v>
      </c>
      <c r="E237" s="2">
        <f t="shared" si="35"/>
        <v>0.73920471064814808</v>
      </c>
      <c r="G237" t="str">
        <f t="shared" si="30"/>
        <v>FFDFD7C0</v>
      </c>
      <c r="H237" t="s">
        <v>126</v>
      </c>
      <c r="I237">
        <v>8</v>
      </c>
      <c r="J237">
        <v>1008</v>
      </c>
      <c r="K237" t="s">
        <v>129</v>
      </c>
      <c r="N237" t="s">
        <v>127</v>
      </c>
      <c r="O237">
        <v>0</v>
      </c>
      <c r="P237">
        <v>3</v>
      </c>
      <c r="Q237">
        <v>0</v>
      </c>
      <c r="R237">
        <v>2</v>
      </c>
      <c r="S237">
        <v>1</v>
      </c>
      <c r="T237">
        <v>0</v>
      </c>
      <c r="U237">
        <v>0</v>
      </c>
      <c r="W237" t="str">
        <f>"17:44:26.977"</f>
        <v>17:44:26.977</v>
      </c>
      <c r="X237" t="str">
        <f>"17:44:26.577"</f>
        <v>17:44:26.577</v>
      </c>
      <c r="Y237" t="str">
        <f t="shared" si="31"/>
        <v>A7C771</v>
      </c>
      <c r="Z237">
        <v>0</v>
      </c>
      <c r="AA237">
        <v>0</v>
      </c>
      <c r="AB237">
        <v>2</v>
      </c>
      <c r="AC237">
        <v>0</v>
      </c>
      <c r="AE237">
        <v>0</v>
      </c>
      <c r="AF237">
        <v>8</v>
      </c>
      <c r="AG237">
        <v>3</v>
      </c>
      <c r="AH237">
        <v>0</v>
      </c>
      <c r="AI237">
        <v>9</v>
      </c>
      <c r="AJ237" t="s">
        <v>125</v>
      </c>
      <c r="AK237">
        <v>0</v>
      </c>
      <c r="AL237">
        <v>3</v>
      </c>
      <c r="AM237">
        <v>2</v>
      </c>
      <c r="AN237">
        <v>1</v>
      </c>
      <c r="AO237" t="s">
        <v>609</v>
      </c>
      <c r="AP237">
        <v>42.914893999999997</v>
      </c>
      <c r="AQ237" t="s">
        <v>610</v>
      </c>
      <c r="AR237">
        <v>-77.585706999999999</v>
      </c>
      <c r="AS237">
        <v>25</v>
      </c>
      <c r="AT237">
        <v>2300</v>
      </c>
      <c r="AU237" t="s">
        <v>123</v>
      </c>
      <c r="AV237">
        <v>42</v>
      </c>
      <c r="AW237">
        <v>194</v>
      </c>
      <c r="AX237">
        <v>-256</v>
      </c>
      <c r="AZ237">
        <f t="shared" si="36"/>
        <v>1764</v>
      </c>
      <c r="BA237">
        <f t="shared" si="37"/>
        <v>37636</v>
      </c>
      <c r="BB237" s="1">
        <f t="shared" si="38"/>
        <v>198.49433241279209</v>
      </c>
      <c r="BJ237">
        <v>1404</v>
      </c>
      <c r="BK237">
        <v>1</v>
      </c>
      <c r="BL237" t="str">
        <f t="shared" si="32"/>
        <v xml:space="preserve">N600C   </v>
      </c>
      <c r="BM237">
        <v>2</v>
      </c>
      <c r="BO237">
        <v>0</v>
      </c>
      <c r="BP237">
        <v>0</v>
      </c>
      <c r="BQ237">
        <v>0</v>
      </c>
      <c r="BR237">
        <v>2475</v>
      </c>
      <c r="BS237">
        <v>175</v>
      </c>
      <c r="BT237" t="s">
        <v>128</v>
      </c>
      <c r="BU237">
        <v>0</v>
      </c>
      <c r="BV237">
        <v>0</v>
      </c>
      <c r="BW237">
        <v>0</v>
      </c>
      <c r="BX237">
        <v>1</v>
      </c>
      <c r="CA237">
        <v>0</v>
      </c>
      <c r="CB237">
        <v>0</v>
      </c>
      <c r="CC237">
        <v>0</v>
      </c>
      <c r="CM237" t="str">
        <f>"17:44:26.978"</f>
        <v>17:44:26.978</v>
      </c>
      <c r="CN237">
        <v>977550597</v>
      </c>
      <c r="CQ237">
        <v>0</v>
      </c>
      <c r="CR237">
        <v>2496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3</v>
      </c>
      <c r="DB237">
        <v>2</v>
      </c>
      <c r="DC237">
        <v>0</v>
      </c>
      <c r="DD237">
        <v>2</v>
      </c>
      <c r="DE237">
        <v>0</v>
      </c>
      <c r="DF237">
        <v>7</v>
      </c>
      <c r="DG237">
        <v>7</v>
      </c>
      <c r="DH237" t="s">
        <v>124</v>
      </c>
      <c r="DI237">
        <v>71</v>
      </c>
      <c r="DJ237">
        <v>1</v>
      </c>
      <c r="DK237" t="s">
        <v>134</v>
      </c>
      <c r="DL237" t="s">
        <v>135</v>
      </c>
      <c r="DO237">
        <v>11432731</v>
      </c>
      <c r="DQ237">
        <v>0</v>
      </c>
      <c r="DR237">
        <v>0</v>
      </c>
      <c r="DS237">
        <v>1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</row>
    <row r="238" spans="1:131" x14ac:dyDescent="0.35">
      <c r="A238" s="2" t="str">
        <f>"17:44:28.365"</f>
        <v>17:44:28.365</v>
      </c>
      <c r="B238" s="4">
        <f t="shared" si="39"/>
        <v>63868.364999999998</v>
      </c>
      <c r="C238" s="4">
        <f t="shared" si="33"/>
        <v>268.36499999999796</v>
      </c>
      <c r="D238" s="3">
        <f t="shared" si="34"/>
        <v>0.73921718749999998</v>
      </c>
      <c r="E238" s="2">
        <f t="shared" si="35"/>
        <v>0.73921718749999998</v>
      </c>
      <c r="G238" t="str">
        <f t="shared" si="30"/>
        <v>FFDFD7C0</v>
      </c>
      <c r="H238" t="s">
        <v>126</v>
      </c>
      <c r="I238">
        <v>8</v>
      </c>
      <c r="J238">
        <v>1008</v>
      </c>
      <c r="K238" t="s">
        <v>129</v>
      </c>
      <c r="N238" t="s">
        <v>127</v>
      </c>
      <c r="O238">
        <v>0</v>
      </c>
      <c r="P238">
        <v>3</v>
      </c>
      <c r="Q238">
        <v>0</v>
      </c>
      <c r="R238">
        <v>2</v>
      </c>
      <c r="S238">
        <v>1</v>
      </c>
      <c r="T238">
        <v>0</v>
      </c>
      <c r="U238">
        <v>0</v>
      </c>
      <c r="W238" t="str">
        <f>"17:44:28.078"</f>
        <v>17:44:28.078</v>
      </c>
      <c r="X238" t="str">
        <f>"17:44:27.978"</f>
        <v>17:44:27.978</v>
      </c>
      <c r="Y238" t="str">
        <f t="shared" si="31"/>
        <v>A7C771</v>
      </c>
      <c r="Z238">
        <v>0</v>
      </c>
      <c r="AA238">
        <v>0</v>
      </c>
      <c r="AB238">
        <v>2</v>
      </c>
      <c r="AC238">
        <v>0</v>
      </c>
      <c r="AE238">
        <v>0</v>
      </c>
      <c r="AF238">
        <v>8</v>
      </c>
      <c r="AG238">
        <v>3</v>
      </c>
      <c r="AH238">
        <v>0</v>
      </c>
      <c r="AI238">
        <v>9</v>
      </c>
      <c r="AJ238" t="s">
        <v>125</v>
      </c>
      <c r="AK238">
        <v>0</v>
      </c>
      <c r="AL238">
        <v>3</v>
      </c>
      <c r="AM238">
        <v>2</v>
      </c>
      <c r="AN238">
        <v>1</v>
      </c>
      <c r="AO238" t="s">
        <v>611</v>
      </c>
      <c r="AP238">
        <v>42.915858999999998</v>
      </c>
      <c r="AQ238" t="s">
        <v>612</v>
      </c>
      <c r="AR238">
        <v>-77.585448999999997</v>
      </c>
      <c r="AS238">
        <v>25</v>
      </c>
      <c r="AT238">
        <v>2300</v>
      </c>
      <c r="AU238" t="s">
        <v>123</v>
      </c>
      <c r="AV238">
        <v>40</v>
      </c>
      <c r="AW238">
        <v>194</v>
      </c>
      <c r="AX238">
        <v>-192</v>
      </c>
      <c r="AZ238">
        <f t="shared" si="36"/>
        <v>1600</v>
      </c>
      <c r="BA238">
        <f t="shared" si="37"/>
        <v>37636</v>
      </c>
      <c r="BB238" s="1">
        <f t="shared" si="38"/>
        <v>198.08079159777205</v>
      </c>
      <c r="BJ238">
        <v>1404</v>
      </c>
      <c r="BK238">
        <v>1</v>
      </c>
      <c r="BL238" t="str">
        <f t="shared" si="32"/>
        <v xml:space="preserve">N600C   </v>
      </c>
      <c r="BM238">
        <v>2</v>
      </c>
      <c r="BO238">
        <v>0</v>
      </c>
      <c r="BP238">
        <v>0</v>
      </c>
      <c r="BQ238">
        <v>0</v>
      </c>
      <c r="BR238">
        <v>2475</v>
      </c>
      <c r="BS238">
        <v>175</v>
      </c>
      <c r="BT238" t="s">
        <v>128</v>
      </c>
      <c r="BU238">
        <v>0</v>
      </c>
      <c r="BV238">
        <v>0</v>
      </c>
      <c r="BW238">
        <v>0</v>
      </c>
      <c r="BX238">
        <v>1</v>
      </c>
      <c r="CA238">
        <v>0</v>
      </c>
      <c r="CB238">
        <v>0</v>
      </c>
      <c r="CC238">
        <v>0</v>
      </c>
      <c r="CM238" t="str">
        <f>"17:44:28.082"</f>
        <v>17:44:28.082</v>
      </c>
      <c r="CN238">
        <v>81708361</v>
      </c>
      <c r="CQ238">
        <v>0</v>
      </c>
      <c r="CR238">
        <v>2496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3</v>
      </c>
      <c r="DB238">
        <v>2</v>
      </c>
      <c r="DC238">
        <v>0</v>
      </c>
      <c r="DD238">
        <v>2</v>
      </c>
      <c r="DE238">
        <v>0</v>
      </c>
      <c r="DF238">
        <v>7</v>
      </c>
      <c r="DG238">
        <v>7</v>
      </c>
      <c r="DH238" t="s">
        <v>124</v>
      </c>
      <c r="DI238">
        <v>71</v>
      </c>
      <c r="DJ238">
        <v>1</v>
      </c>
      <c r="DK238" t="s">
        <v>134</v>
      </c>
      <c r="DL238" t="s">
        <v>135</v>
      </c>
      <c r="DO238">
        <v>11433525</v>
      </c>
      <c r="DQ238">
        <v>0</v>
      </c>
      <c r="DR238">
        <v>0</v>
      </c>
      <c r="DS238">
        <v>1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</row>
    <row r="239" spans="1:131" x14ac:dyDescent="0.35">
      <c r="A239" s="2" t="str">
        <f>"17:44:29.333"</f>
        <v>17:44:29.333</v>
      </c>
      <c r="B239" s="4">
        <f t="shared" si="39"/>
        <v>63869.332999999999</v>
      </c>
      <c r="C239" s="4">
        <f t="shared" si="33"/>
        <v>269.33299999999872</v>
      </c>
      <c r="D239" s="3">
        <f t="shared" si="34"/>
        <v>0.73922839120370365</v>
      </c>
      <c r="E239" s="2">
        <f t="shared" si="35"/>
        <v>0.73922839120370365</v>
      </c>
      <c r="G239" t="str">
        <f t="shared" si="30"/>
        <v>FFDFD7C0</v>
      </c>
      <c r="H239" t="s">
        <v>126</v>
      </c>
      <c r="I239">
        <v>8</v>
      </c>
      <c r="J239">
        <v>1008</v>
      </c>
      <c r="K239" t="s">
        <v>129</v>
      </c>
      <c r="N239" t="s">
        <v>127</v>
      </c>
      <c r="O239">
        <v>0</v>
      </c>
      <c r="P239">
        <v>3</v>
      </c>
      <c r="Q239">
        <v>0</v>
      </c>
      <c r="R239">
        <v>2</v>
      </c>
      <c r="S239">
        <v>1</v>
      </c>
      <c r="T239">
        <v>0</v>
      </c>
      <c r="U239">
        <v>0</v>
      </c>
      <c r="W239" t="str">
        <f>"17:44:29.094"</f>
        <v>17:44:29.094</v>
      </c>
      <c r="X239" t="str">
        <f>"17:44:28.994"</f>
        <v>17:44:28.994</v>
      </c>
      <c r="Y239" t="str">
        <f t="shared" si="31"/>
        <v>A7C771</v>
      </c>
      <c r="Z239">
        <v>0</v>
      </c>
      <c r="AA239">
        <v>0</v>
      </c>
      <c r="AB239">
        <v>2</v>
      </c>
      <c r="AC239">
        <v>0</v>
      </c>
      <c r="AE239">
        <v>0</v>
      </c>
      <c r="AF239">
        <v>8</v>
      </c>
      <c r="AG239">
        <v>3</v>
      </c>
      <c r="AH239">
        <v>0</v>
      </c>
      <c r="AI239">
        <v>9</v>
      </c>
      <c r="AJ239" t="s">
        <v>125</v>
      </c>
      <c r="AK239">
        <v>0</v>
      </c>
      <c r="AL239">
        <v>3</v>
      </c>
      <c r="AM239">
        <v>2</v>
      </c>
      <c r="AN239">
        <v>1</v>
      </c>
      <c r="AO239" t="s">
        <v>613</v>
      </c>
      <c r="AP239">
        <v>42.916846</v>
      </c>
      <c r="AQ239" t="s">
        <v>614</v>
      </c>
      <c r="AR239">
        <v>-77.585192000000006</v>
      </c>
      <c r="AS239">
        <v>25</v>
      </c>
      <c r="AT239">
        <v>2300</v>
      </c>
      <c r="AU239" t="s">
        <v>123</v>
      </c>
      <c r="AV239">
        <v>39</v>
      </c>
      <c r="AW239">
        <v>194</v>
      </c>
      <c r="AX239">
        <v>-64</v>
      </c>
      <c r="AZ239">
        <f t="shared" si="36"/>
        <v>1521</v>
      </c>
      <c r="BA239">
        <f t="shared" si="37"/>
        <v>37636</v>
      </c>
      <c r="BB239" s="1">
        <f t="shared" si="38"/>
        <v>197.88127753782064</v>
      </c>
      <c r="BJ239">
        <v>1404</v>
      </c>
      <c r="BK239">
        <v>1</v>
      </c>
      <c r="BL239" t="str">
        <f t="shared" si="32"/>
        <v xml:space="preserve">N600C   </v>
      </c>
      <c r="BM239">
        <v>2</v>
      </c>
      <c r="BO239">
        <v>0</v>
      </c>
      <c r="BP239">
        <v>0</v>
      </c>
      <c r="BQ239">
        <v>0</v>
      </c>
      <c r="BR239">
        <v>2475</v>
      </c>
      <c r="BS239">
        <v>175</v>
      </c>
      <c r="BT239" t="s">
        <v>128</v>
      </c>
      <c r="BU239">
        <v>0</v>
      </c>
      <c r="BV239">
        <v>0</v>
      </c>
      <c r="BW239">
        <v>0</v>
      </c>
      <c r="BX239">
        <v>1</v>
      </c>
      <c r="CA239">
        <v>0</v>
      </c>
      <c r="CB239">
        <v>0</v>
      </c>
      <c r="CC239">
        <v>0</v>
      </c>
      <c r="CM239" t="str">
        <f>"17:44:29.098"</f>
        <v>17:44:29.098</v>
      </c>
      <c r="CN239">
        <v>97895336</v>
      </c>
      <c r="CQ239">
        <v>0</v>
      </c>
      <c r="CR239">
        <v>2496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3</v>
      </c>
      <c r="DB239">
        <v>2</v>
      </c>
      <c r="DC239">
        <v>0</v>
      </c>
      <c r="DD239">
        <v>2</v>
      </c>
      <c r="DE239">
        <v>0</v>
      </c>
      <c r="DF239">
        <v>7</v>
      </c>
      <c r="DG239">
        <v>7</v>
      </c>
      <c r="DH239" t="s">
        <v>124</v>
      </c>
      <c r="DI239">
        <v>71</v>
      </c>
      <c r="DJ239">
        <v>1</v>
      </c>
      <c r="DK239" t="s">
        <v>134</v>
      </c>
      <c r="DL239" t="s">
        <v>135</v>
      </c>
      <c r="DO239">
        <v>11434321</v>
      </c>
      <c r="DQ239">
        <v>0</v>
      </c>
      <c r="DR239">
        <v>0</v>
      </c>
      <c r="DS239">
        <v>1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</row>
    <row r="240" spans="1:131" x14ac:dyDescent="0.35">
      <c r="A240" s="2" t="str">
        <f>"17:44:30.396"</f>
        <v>17:44:30.396</v>
      </c>
      <c r="B240" s="4">
        <f t="shared" si="39"/>
        <v>63870.395999999993</v>
      </c>
      <c r="C240" s="4">
        <f t="shared" si="33"/>
        <v>270.39599999999336</v>
      </c>
      <c r="D240" s="3">
        <f t="shared" si="34"/>
        <v>0.7392406944444444</v>
      </c>
      <c r="E240" s="2">
        <f t="shared" si="35"/>
        <v>0.7392406944444444</v>
      </c>
      <c r="G240" t="str">
        <f t="shared" si="30"/>
        <v>FFDFD7C0</v>
      </c>
      <c r="H240" t="s">
        <v>126</v>
      </c>
      <c r="I240">
        <v>8</v>
      </c>
      <c r="J240">
        <v>1008</v>
      </c>
      <c r="K240" t="s">
        <v>129</v>
      </c>
      <c r="N240" t="s">
        <v>127</v>
      </c>
      <c r="O240">
        <v>0</v>
      </c>
      <c r="P240">
        <v>3</v>
      </c>
      <c r="Q240">
        <v>0</v>
      </c>
      <c r="R240">
        <v>2</v>
      </c>
      <c r="S240">
        <v>1</v>
      </c>
      <c r="T240">
        <v>0</v>
      </c>
      <c r="U240">
        <v>0</v>
      </c>
      <c r="W240" t="str">
        <f>"17:44:30.078"</f>
        <v>17:44:30.078</v>
      </c>
      <c r="X240" t="str">
        <f>"17:44:29.978"</f>
        <v>17:44:29.978</v>
      </c>
      <c r="Y240" t="str">
        <f t="shared" si="31"/>
        <v>A7C771</v>
      </c>
      <c r="Z240">
        <v>0</v>
      </c>
      <c r="AA240">
        <v>0</v>
      </c>
      <c r="AB240">
        <v>2</v>
      </c>
      <c r="AC240">
        <v>0</v>
      </c>
      <c r="AE240">
        <v>0</v>
      </c>
      <c r="AF240">
        <v>8</v>
      </c>
      <c r="AG240">
        <v>3</v>
      </c>
      <c r="AH240">
        <v>0</v>
      </c>
      <c r="AI240">
        <v>9</v>
      </c>
      <c r="AJ240" t="s">
        <v>125</v>
      </c>
      <c r="AK240">
        <v>0</v>
      </c>
      <c r="AL240">
        <v>3</v>
      </c>
      <c r="AM240">
        <v>2</v>
      </c>
      <c r="AN240">
        <v>1</v>
      </c>
      <c r="AO240" t="s">
        <v>615</v>
      </c>
      <c r="AP240">
        <v>42.917662</v>
      </c>
      <c r="AQ240" t="s">
        <v>616</v>
      </c>
      <c r="AR240">
        <v>-77.584998999999996</v>
      </c>
      <c r="AS240">
        <v>25</v>
      </c>
      <c r="AT240">
        <v>2300</v>
      </c>
      <c r="AU240" t="s">
        <v>123</v>
      </c>
      <c r="AV240">
        <v>37</v>
      </c>
      <c r="AW240">
        <v>193</v>
      </c>
      <c r="AX240">
        <v>0</v>
      </c>
      <c r="AZ240">
        <f t="shared" si="36"/>
        <v>1369</v>
      </c>
      <c r="BA240">
        <f t="shared" si="37"/>
        <v>37249</v>
      </c>
      <c r="BB240" s="1">
        <f t="shared" si="38"/>
        <v>196.51463049859672</v>
      </c>
      <c r="BJ240">
        <v>1404</v>
      </c>
      <c r="BK240">
        <v>1</v>
      </c>
      <c r="BL240" t="str">
        <f t="shared" si="32"/>
        <v xml:space="preserve">N600C   </v>
      </c>
      <c r="BM240">
        <v>2</v>
      </c>
      <c r="BO240">
        <v>0</v>
      </c>
      <c r="BP240">
        <v>0</v>
      </c>
      <c r="BQ240">
        <v>0</v>
      </c>
      <c r="BR240">
        <v>2475</v>
      </c>
      <c r="BS240">
        <v>175</v>
      </c>
      <c r="BT240" t="s">
        <v>128</v>
      </c>
      <c r="BU240">
        <v>0</v>
      </c>
      <c r="BV240">
        <v>0</v>
      </c>
      <c r="BW240">
        <v>0</v>
      </c>
      <c r="BX240">
        <v>1</v>
      </c>
      <c r="CA240">
        <v>0</v>
      </c>
      <c r="CB240">
        <v>0</v>
      </c>
      <c r="CC240">
        <v>0</v>
      </c>
      <c r="CM240" t="str">
        <f>"17:44:30.082"</f>
        <v>17:44:30.082</v>
      </c>
      <c r="CN240">
        <v>82081910</v>
      </c>
      <c r="CQ240">
        <v>0</v>
      </c>
      <c r="CR240">
        <v>2496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3</v>
      </c>
      <c r="DB240">
        <v>2</v>
      </c>
      <c r="DC240">
        <v>0</v>
      </c>
      <c r="DD240">
        <v>2</v>
      </c>
      <c r="DE240">
        <v>0</v>
      </c>
      <c r="DF240">
        <v>7</v>
      </c>
      <c r="DG240">
        <v>7</v>
      </c>
      <c r="DH240" t="s">
        <v>124</v>
      </c>
      <c r="DI240">
        <v>71</v>
      </c>
      <c r="DJ240">
        <v>0</v>
      </c>
      <c r="DK240" t="s">
        <v>134</v>
      </c>
      <c r="DL240" t="s">
        <v>135</v>
      </c>
      <c r="DO240">
        <v>10098477</v>
      </c>
      <c r="DQ240">
        <v>0</v>
      </c>
      <c r="DR240">
        <v>0</v>
      </c>
      <c r="DS240">
        <v>1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</row>
    <row r="241" spans="1:131" x14ac:dyDescent="0.35">
      <c r="A241" s="2" t="str">
        <f>"17:44:31.443"</f>
        <v>17:44:31.443</v>
      </c>
      <c r="B241" s="4">
        <f t="shared" si="39"/>
        <v>63871.442999999999</v>
      </c>
      <c r="C241" s="4">
        <f t="shared" si="33"/>
        <v>271.4429999999993</v>
      </c>
      <c r="D241" s="3">
        <f t="shared" si="34"/>
        <v>0.73925281249999997</v>
      </c>
      <c r="E241" s="2">
        <f t="shared" si="35"/>
        <v>0.73925281249999997</v>
      </c>
      <c r="G241" t="str">
        <f t="shared" si="30"/>
        <v>FFDFD7C0</v>
      </c>
      <c r="H241" t="s">
        <v>126</v>
      </c>
      <c r="I241">
        <v>8</v>
      </c>
      <c r="J241">
        <v>1008</v>
      </c>
      <c r="K241" t="s">
        <v>129</v>
      </c>
      <c r="N241" t="s">
        <v>127</v>
      </c>
      <c r="O241">
        <v>0</v>
      </c>
      <c r="P241">
        <v>3</v>
      </c>
      <c r="Q241">
        <v>0</v>
      </c>
      <c r="R241">
        <v>2</v>
      </c>
      <c r="S241">
        <v>1</v>
      </c>
      <c r="T241">
        <v>0</v>
      </c>
      <c r="U241">
        <v>0</v>
      </c>
      <c r="W241" t="str">
        <f>"17:44:30.984"</f>
        <v>17:44:30.984</v>
      </c>
      <c r="X241" t="str">
        <f>"17:44:30.584"</f>
        <v>17:44:30.584</v>
      </c>
      <c r="Y241" t="str">
        <f t="shared" si="31"/>
        <v>A7C771</v>
      </c>
      <c r="Z241">
        <v>0</v>
      </c>
      <c r="AA241">
        <v>0</v>
      </c>
      <c r="AB241">
        <v>2</v>
      </c>
      <c r="AC241">
        <v>0</v>
      </c>
      <c r="AE241">
        <v>0</v>
      </c>
      <c r="AF241">
        <v>8</v>
      </c>
      <c r="AG241">
        <v>3</v>
      </c>
      <c r="AH241">
        <v>0</v>
      </c>
      <c r="AI241">
        <v>9</v>
      </c>
      <c r="AJ241" t="s">
        <v>125</v>
      </c>
      <c r="AK241">
        <v>0</v>
      </c>
      <c r="AL241">
        <v>3</v>
      </c>
      <c r="AM241">
        <v>2</v>
      </c>
      <c r="AN241">
        <v>1</v>
      </c>
      <c r="AO241" t="s">
        <v>617</v>
      </c>
      <c r="AP241">
        <v>42.918455999999999</v>
      </c>
      <c r="AQ241" t="s">
        <v>618</v>
      </c>
      <c r="AR241">
        <v>-77.584805000000003</v>
      </c>
      <c r="AS241">
        <v>25</v>
      </c>
      <c r="AT241">
        <v>2300</v>
      </c>
      <c r="AU241" t="s">
        <v>123</v>
      </c>
      <c r="AV241">
        <v>35</v>
      </c>
      <c r="AW241">
        <v>193</v>
      </c>
      <c r="AX241">
        <v>0</v>
      </c>
      <c r="AZ241">
        <f t="shared" si="36"/>
        <v>1225</v>
      </c>
      <c r="BA241">
        <f t="shared" si="37"/>
        <v>37249</v>
      </c>
      <c r="BB241" s="1">
        <f t="shared" si="38"/>
        <v>196.14790337905731</v>
      </c>
      <c r="BJ241">
        <v>1404</v>
      </c>
      <c r="BK241">
        <v>1</v>
      </c>
      <c r="BL241" t="str">
        <f t="shared" si="32"/>
        <v xml:space="preserve">N600C   </v>
      </c>
      <c r="BM241">
        <v>2</v>
      </c>
      <c r="BO241">
        <v>0</v>
      </c>
      <c r="BP241">
        <v>0</v>
      </c>
      <c r="BQ241">
        <v>0</v>
      </c>
      <c r="BR241">
        <v>2475</v>
      </c>
      <c r="BS241">
        <v>175</v>
      </c>
      <c r="BT241" t="s">
        <v>128</v>
      </c>
      <c r="BU241">
        <v>0</v>
      </c>
      <c r="BV241">
        <v>0</v>
      </c>
      <c r="BW241">
        <v>0</v>
      </c>
      <c r="BX241">
        <v>1</v>
      </c>
      <c r="CA241">
        <v>0</v>
      </c>
      <c r="CB241">
        <v>0</v>
      </c>
      <c r="CC241">
        <v>0</v>
      </c>
      <c r="CM241" t="str">
        <f>"17:44:30.986"</f>
        <v>17:44:30.986</v>
      </c>
      <c r="CN241">
        <v>986253482</v>
      </c>
      <c r="CQ241">
        <v>0</v>
      </c>
      <c r="CR241">
        <v>2496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3</v>
      </c>
      <c r="DB241">
        <v>2</v>
      </c>
      <c r="DC241">
        <v>0</v>
      </c>
      <c r="DD241">
        <v>2</v>
      </c>
      <c r="DE241">
        <v>0</v>
      </c>
      <c r="DF241">
        <v>7</v>
      </c>
      <c r="DG241">
        <v>7</v>
      </c>
      <c r="DH241" t="s">
        <v>124</v>
      </c>
      <c r="DI241">
        <v>71</v>
      </c>
      <c r="DJ241">
        <v>1</v>
      </c>
      <c r="DK241" t="s">
        <v>134</v>
      </c>
      <c r="DL241" t="s">
        <v>135</v>
      </c>
      <c r="DO241">
        <v>11435977</v>
      </c>
      <c r="DQ241">
        <v>0</v>
      </c>
      <c r="DR241">
        <v>0</v>
      </c>
      <c r="DS241">
        <v>1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</row>
    <row r="242" spans="1:131" x14ac:dyDescent="0.35">
      <c r="A242" s="2" t="str">
        <f>"17:44:32.318"</f>
        <v>17:44:32.318</v>
      </c>
      <c r="B242" s="4">
        <f t="shared" si="39"/>
        <v>63872.317999999999</v>
      </c>
      <c r="C242" s="4">
        <f t="shared" si="33"/>
        <v>272.3179999999993</v>
      </c>
      <c r="D242" s="3">
        <f t="shared" si="34"/>
        <v>0.73926293981481483</v>
      </c>
      <c r="E242" s="2">
        <f t="shared" si="35"/>
        <v>0.73926293981481483</v>
      </c>
      <c r="G242" t="str">
        <f t="shared" si="30"/>
        <v>FFDFD7C0</v>
      </c>
      <c r="H242" t="s">
        <v>126</v>
      </c>
      <c r="I242">
        <v>8</v>
      </c>
      <c r="J242">
        <v>1008</v>
      </c>
      <c r="K242" t="s">
        <v>129</v>
      </c>
      <c r="N242" t="s">
        <v>127</v>
      </c>
      <c r="O242">
        <v>0</v>
      </c>
      <c r="P242">
        <v>3</v>
      </c>
      <c r="Q242">
        <v>0</v>
      </c>
      <c r="R242">
        <v>2</v>
      </c>
      <c r="S242">
        <v>1</v>
      </c>
      <c r="T242">
        <v>0</v>
      </c>
      <c r="U242">
        <v>0</v>
      </c>
      <c r="W242" t="str">
        <f>"17:44:31.961"</f>
        <v>17:44:31.961</v>
      </c>
      <c r="X242" t="str">
        <f>"17:44:31.961"</f>
        <v>17:44:31.961</v>
      </c>
      <c r="Y242" t="str">
        <f t="shared" si="31"/>
        <v>A7C771</v>
      </c>
      <c r="Z242">
        <v>0</v>
      </c>
      <c r="AA242">
        <v>0</v>
      </c>
      <c r="AB242">
        <v>2</v>
      </c>
      <c r="AC242">
        <v>0</v>
      </c>
      <c r="AE242">
        <v>0</v>
      </c>
      <c r="AF242">
        <v>8</v>
      </c>
      <c r="AG242">
        <v>3</v>
      </c>
      <c r="AH242">
        <v>0</v>
      </c>
      <c r="AI242">
        <v>9</v>
      </c>
      <c r="AJ242" t="s">
        <v>125</v>
      </c>
      <c r="AK242">
        <v>0</v>
      </c>
      <c r="AL242">
        <v>3</v>
      </c>
      <c r="AM242">
        <v>2</v>
      </c>
      <c r="AN242">
        <v>1</v>
      </c>
      <c r="AO242" t="s">
        <v>619</v>
      </c>
      <c r="AP242">
        <v>42.919378000000002</v>
      </c>
      <c r="AQ242" t="s">
        <v>620</v>
      </c>
      <c r="AR242">
        <v>-77.584547999999998</v>
      </c>
      <c r="AS242">
        <v>25</v>
      </c>
      <c r="AT242">
        <v>2300</v>
      </c>
      <c r="AU242" t="s">
        <v>123</v>
      </c>
      <c r="AV242">
        <v>35</v>
      </c>
      <c r="AW242">
        <v>192</v>
      </c>
      <c r="AX242">
        <v>64</v>
      </c>
      <c r="AZ242">
        <f t="shared" si="36"/>
        <v>1225</v>
      </c>
      <c r="BA242">
        <f t="shared" si="37"/>
        <v>36864</v>
      </c>
      <c r="BB242" s="1">
        <f t="shared" si="38"/>
        <v>195.16403357176239</v>
      </c>
      <c r="BJ242">
        <v>1404</v>
      </c>
      <c r="BK242">
        <v>1</v>
      </c>
      <c r="BL242" t="str">
        <f t="shared" si="32"/>
        <v xml:space="preserve">N600C   </v>
      </c>
      <c r="BM242">
        <v>2</v>
      </c>
      <c r="BO242">
        <v>0</v>
      </c>
      <c r="BP242">
        <v>0</v>
      </c>
      <c r="BQ242">
        <v>0</v>
      </c>
      <c r="BR242">
        <v>2475</v>
      </c>
      <c r="BS242">
        <v>175</v>
      </c>
      <c r="BT242" t="s">
        <v>128</v>
      </c>
      <c r="BU242">
        <v>0</v>
      </c>
      <c r="BV242">
        <v>0</v>
      </c>
      <c r="BW242">
        <v>0</v>
      </c>
      <c r="BX242">
        <v>1</v>
      </c>
      <c r="CA242">
        <v>0</v>
      </c>
      <c r="CB242">
        <v>0</v>
      </c>
      <c r="CC242">
        <v>0</v>
      </c>
      <c r="CM242" t="str">
        <f>"17:44:31.962"</f>
        <v>17:44:31.962</v>
      </c>
      <c r="CN242">
        <v>962428478</v>
      </c>
      <c r="CQ242">
        <v>0</v>
      </c>
      <c r="CR242">
        <v>2496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3</v>
      </c>
      <c r="DB242">
        <v>2</v>
      </c>
      <c r="DC242">
        <v>0</v>
      </c>
      <c r="DD242">
        <v>2</v>
      </c>
      <c r="DE242">
        <v>0</v>
      </c>
      <c r="DF242">
        <v>7</v>
      </c>
      <c r="DG242">
        <v>7</v>
      </c>
      <c r="DH242" t="s">
        <v>124</v>
      </c>
      <c r="DI242">
        <v>71</v>
      </c>
      <c r="DJ242">
        <v>0</v>
      </c>
      <c r="DK242" t="s">
        <v>134</v>
      </c>
      <c r="DL242" t="s">
        <v>135</v>
      </c>
      <c r="DO242">
        <v>10099927</v>
      </c>
      <c r="DQ242">
        <v>0</v>
      </c>
      <c r="DR242">
        <v>0</v>
      </c>
      <c r="DS242">
        <v>1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</row>
    <row r="243" spans="1:131" x14ac:dyDescent="0.35">
      <c r="A243" s="2" t="str">
        <f>"17:44:33.412"</f>
        <v>17:44:33.412</v>
      </c>
      <c r="B243" s="4">
        <f t="shared" si="39"/>
        <v>63873.411999999997</v>
      </c>
      <c r="C243" s="4">
        <f t="shared" si="33"/>
        <v>273.41199999999662</v>
      </c>
      <c r="D243" s="3">
        <f t="shared" si="34"/>
        <v>0.73927560185185182</v>
      </c>
      <c r="E243" s="2">
        <f t="shared" si="35"/>
        <v>0.73927560185185182</v>
      </c>
      <c r="G243" t="str">
        <f t="shared" si="30"/>
        <v>FFDFD7C0</v>
      </c>
      <c r="H243" t="s">
        <v>126</v>
      </c>
      <c r="I243">
        <v>8</v>
      </c>
      <c r="J243">
        <v>1008</v>
      </c>
      <c r="K243" t="s">
        <v>129</v>
      </c>
      <c r="N243" t="s">
        <v>127</v>
      </c>
      <c r="O243">
        <v>0</v>
      </c>
      <c r="P243">
        <v>3</v>
      </c>
      <c r="Q243">
        <v>0</v>
      </c>
      <c r="R243">
        <v>2</v>
      </c>
      <c r="S243">
        <v>1</v>
      </c>
      <c r="T243">
        <v>0</v>
      </c>
      <c r="U243">
        <v>0</v>
      </c>
      <c r="W243" t="str">
        <f>"17:44:33.125"</f>
        <v>17:44:33.125</v>
      </c>
      <c r="X243" t="str">
        <f>"17:44:32.825"</f>
        <v>17:44:32.825</v>
      </c>
      <c r="Y243" t="str">
        <f t="shared" si="31"/>
        <v>A7C771</v>
      </c>
      <c r="Z243">
        <v>0</v>
      </c>
      <c r="AA243">
        <v>0</v>
      </c>
      <c r="AB243">
        <v>2</v>
      </c>
      <c r="AC243">
        <v>0</v>
      </c>
      <c r="AE243">
        <v>0</v>
      </c>
      <c r="AF243">
        <v>8</v>
      </c>
      <c r="AG243">
        <v>3</v>
      </c>
      <c r="AH243">
        <v>0</v>
      </c>
      <c r="AI243">
        <v>9</v>
      </c>
      <c r="AJ243" t="s">
        <v>125</v>
      </c>
      <c r="AK243">
        <v>0</v>
      </c>
      <c r="AL243">
        <v>3</v>
      </c>
      <c r="AM243">
        <v>2</v>
      </c>
      <c r="AN243">
        <v>1</v>
      </c>
      <c r="AO243" t="s">
        <v>621</v>
      </c>
      <c r="AP243">
        <v>42.920430000000003</v>
      </c>
      <c r="AQ243" t="s">
        <v>622</v>
      </c>
      <c r="AR243">
        <v>-77.584290999999993</v>
      </c>
      <c r="AS243">
        <v>25</v>
      </c>
      <c r="AT243">
        <v>2300</v>
      </c>
      <c r="AU243" t="s">
        <v>123</v>
      </c>
      <c r="AV243">
        <v>35</v>
      </c>
      <c r="AW243">
        <v>192</v>
      </c>
      <c r="AX243">
        <v>64</v>
      </c>
      <c r="AZ243">
        <f t="shared" si="36"/>
        <v>1225</v>
      </c>
      <c r="BA243">
        <f t="shared" si="37"/>
        <v>36864</v>
      </c>
      <c r="BB243" s="1">
        <f t="shared" si="38"/>
        <v>195.16403357176239</v>
      </c>
      <c r="BJ243">
        <v>1404</v>
      </c>
      <c r="BK243">
        <v>1</v>
      </c>
      <c r="BL243" t="str">
        <f t="shared" si="32"/>
        <v xml:space="preserve">N600C   </v>
      </c>
      <c r="BM243">
        <v>2</v>
      </c>
      <c r="BO243">
        <v>0</v>
      </c>
      <c r="BP243">
        <v>0</v>
      </c>
      <c r="BQ243">
        <v>0</v>
      </c>
      <c r="BR243">
        <v>2475</v>
      </c>
      <c r="BS243">
        <v>175</v>
      </c>
      <c r="BT243" t="s">
        <v>128</v>
      </c>
      <c r="BU243">
        <v>0</v>
      </c>
      <c r="BV243">
        <v>0</v>
      </c>
      <c r="BW243">
        <v>0</v>
      </c>
      <c r="BX243">
        <v>1</v>
      </c>
      <c r="CA243">
        <v>0</v>
      </c>
      <c r="CB243">
        <v>0</v>
      </c>
      <c r="CC243">
        <v>0</v>
      </c>
      <c r="CM243" t="str">
        <f>"17:44:33.131"</f>
        <v>17:44:33.131</v>
      </c>
      <c r="CN243">
        <v>130640276</v>
      </c>
      <c r="CQ243">
        <v>0</v>
      </c>
      <c r="CR243">
        <v>2496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3</v>
      </c>
      <c r="DB243">
        <v>2</v>
      </c>
      <c r="DC243">
        <v>0</v>
      </c>
      <c r="DD243">
        <v>2</v>
      </c>
      <c r="DE243">
        <v>0</v>
      </c>
      <c r="DF243">
        <v>7</v>
      </c>
      <c r="DG243">
        <v>7</v>
      </c>
      <c r="DH243" t="s">
        <v>124</v>
      </c>
      <c r="DI243">
        <v>71</v>
      </c>
      <c r="DJ243">
        <v>1</v>
      </c>
      <c r="DK243" t="s">
        <v>134</v>
      </c>
      <c r="DL243" t="s">
        <v>135</v>
      </c>
      <c r="DO243">
        <v>11437836</v>
      </c>
      <c r="DQ243">
        <v>0</v>
      </c>
      <c r="DR243">
        <v>0</v>
      </c>
      <c r="DS243">
        <v>1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</row>
    <row r="244" spans="1:131" x14ac:dyDescent="0.35">
      <c r="A244" s="2" t="str">
        <f>"17:44:34.427"</f>
        <v>17:44:34.427</v>
      </c>
      <c r="B244" s="4">
        <f t="shared" si="39"/>
        <v>63874.427000000011</v>
      </c>
      <c r="C244" s="4">
        <f t="shared" si="33"/>
        <v>274.42700000001059</v>
      </c>
      <c r="D244" s="3">
        <f t="shared" si="34"/>
        <v>0.73928734953703712</v>
      </c>
      <c r="E244" s="2">
        <f t="shared" si="35"/>
        <v>0.73928734953703712</v>
      </c>
      <c r="G244" t="str">
        <f t="shared" si="30"/>
        <v>FFDFD7C0</v>
      </c>
      <c r="H244" t="s">
        <v>126</v>
      </c>
      <c r="I244">
        <v>8</v>
      </c>
      <c r="J244">
        <v>1008</v>
      </c>
      <c r="K244" t="s">
        <v>129</v>
      </c>
      <c r="N244" t="s">
        <v>127</v>
      </c>
      <c r="O244">
        <v>0</v>
      </c>
      <c r="P244">
        <v>3</v>
      </c>
      <c r="Q244">
        <v>0</v>
      </c>
      <c r="R244">
        <v>2</v>
      </c>
      <c r="S244">
        <v>1</v>
      </c>
      <c r="T244">
        <v>0</v>
      </c>
      <c r="U244">
        <v>0</v>
      </c>
      <c r="W244" t="str">
        <f>"17:44:34.141"</f>
        <v>17:44:34.141</v>
      </c>
      <c r="X244" t="str">
        <f>"17:44:33.841"</f>
        <v>17:44:33.841</v>
      </c>
      <c r="Y244" t="str">
        <f t="shared" si="31"/>
        <v>A7C771</v>
      </c>
      <c r="Z244">
        <v>0</v>
      </c>
      <c r="AA244">
        <v>0</v>
      </c>
      <c r="AB244">
        <v>2</v>
      </c>
      <c r="AC244">
        <v>0</v>
      </c>
      <c r="AE244">
        <v>0</v>
      </c>
      <c r="AF244">
        <v>8</v>
      </c>
      <c r="AG244">
        <v>3</v>
      </c>
      <c r="AH244">
        <v>0</v>
      </c>
      <c r="AI244">
        <v>9</v>
      </c>
      <c r="AJ244" t="s">
        <v>125</v>
      </c>
      <c r="AK244">
        <v>0</v>
      </c>
      <c r="AL244">
        <v>3</v>
      </c>
      <c r="AM244">
        <v>2</v>
      </c>
      <c r="AN244">
        <v>1</v>
      </c>
      <c r="AO244" t="s">
        <v>623</v>
      </c>
      <c r="AP244">
        <v>42.921287999999997</v>
      </c>
      <c r="AQ244" t="s">
        <v>624</v>
      </c>
      <c r="AR244">
        <v>-77.584053999999995</v>
      </c>
      <c r="AS244">
        <v>25</v>
      </c>
      <c r="AT244">
        <v>2300</v>
      </c>
      <c r="AU244" t="s">
        <v>123</v>
      </c>
      <c r="AV244">
        <v>36</v>
      </c>
      <c r="AW244">
        <v>191</v>
      </c>
      <c r="AX244">
        <v>128</v>
      </c>
      <c r="AZ244">
        <f t="shared" si="36"/>
        <v>1296</v>
      </c>
      <c r="BA244">
        <f t="shared" si="37"/>
        <v>36481</v>
      </c>
      <c r="BB244" s="1">
        <f t="shared" si="38"/>
        <v>194.36306233438492</v>
      </c>
      <c r="BJ244">
        <v>1404</v>
      </c>
      <c r="BK244">
        <v>1</v>
      </c>
      <c r="BL244" t="str">
        <f t="shared" si="32"/>
        <v xml:space="preserve">N600C   </v>
      </c>
      <c r="BM244">
        <v>2</v>
      </c>
      <c r="BO244">
        <v>0</v>
      </c>
      <c r="BP244">
        <v>0</v>
      </c>
      <c r="BQ244">
        <v>0</v>
      </c>
      <c r="BR244">
        <v>2475</v>
      </c>
      <c r="BS244">
        <v>175</v>
      </c>
      <c r="BT244" t="s">
        <v>128</v>
      </c>
      <c r="BU244">
        <v>0</v>
      </c>
      <c r="BV244">
        <v>0</v>
      </c>
      <c r="BW244">
        <v>0</v>
      </c>
      <c r="BX244">
        <v>1</v>
      </c>
      <c r="CA244">
        <v>0</v>
      </c>
      <c r="CB244">
        <v>0</v>
      </c>
      <c r="CC244">
        <v>0</v>
      </c>
      <c r="CM244" t="str">
        <f>"17:44:34.147"</f>
        <v>17:44:34.147</v>
      </c>
      <c r="CN244">
        <v>146820945</v>
      </c>
      <c r="CQ244">
        <v>0</v>
      </c>
      <c r="CR244">
        <v>2496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3</v>
      </c>
      <c r="DB244">
        <v>2</v>
      </c>
      <c r="DC244">
        <v>0</v>
      </c>
      <c r="DD244">
        <v>2</v>
      </c>
      <c r="DE244">
        <v>0</v>
      </c>
      <c r="DF244">
        <v>7</v>
      </c>
      <c r="DG244">
        <v>7</v>
      </c>
      <c r="DH244" t="s">
        <v>124</v>
      </c>
      <c r="DI244">
        <v>71</v>
      </c>
      <c r="DJ244">
        <v>1</v>
      </c>
      <c r="DK244" t="s">
        <v>134</v>
      </c>
      <c r="DL244" t="s">
        <v>135</v>
      </c>
      <c r="DO244">
        <v>11438644</v>
      </c>
      <c r="DQ244">
        <v>0</v>
      </c>
      <c r="DR244">
        <v>0</v>
      </c>
      <c r="DS244">
        <v>1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</row>
    <row r="245" spans="1:131" x14ac:dyDescent="0.35">
      <c r="A245" s="2" t="str">
        <f>"17:44:35.349"</f>
        <v>17:44:35.349</v>
      </c>
      <c r="B245" s="4">
        <f t="shared" si="39"/>
        <v>63875.349000000009</v>
      </c>
      <c r="C245" s="4">
        <f t="shared" si="33"/>
        <v>275.34900000000926</v>
      </c>
      <c r="D245" s="3">
        <f t="shared" si="34"/>
        <v>0.7392980208333334</v>
      </c>
      <c r="E245" s="2">
        <f t="shared" si="35"/>
        <v>0.7392980208333334</v>
      </c>
      <c r="G245" t="str">
        <f t="shared" si="30"/>
        <v>FFDFD7C0</v>
      </c>
      <c r="H245" t="s">
        <v>126</v>
      </c>
      <c r="I245">
        <v>8</v>
      </c>
      <c r="J245">
        <v>1008</v>
      </c>
      <c r="K245" t="s">
        <v>129</v>
      </c>
      <c r="N245" t="s">
        <v>127</v>
      </c>
      <c r="O245">
        <v>0</v>
      </c>
      <c r="P245">
        <v>3</v>
      </c>
      <c r="Q245">
        <v>0</v>
      </c>
      <c r="R245">
        <v>2</v>
      </c>
      <c r="S245">
        <v>1</v>
      </c>
      <c r="T245">
        <v>0</v>
      </c>
      <c r="U245">
        <v>0</v>
      </c>
      <c r="W245" t="str">
        <f>"17:44:34.984"</f>
        <v>17:44:34.984</v>
      </c>
      <c r="X245" t="str">
        <f>"17:44:34.784"</f>
        <v>17:44:34.784</v>
      </c>
      <c r="Y245" t="str">
        <f t="shared" si="31"/>
        <v>A7C771</v>
      </c>
      <c r="Z245">
        <v>0</v>
      </c>
      <c r="AA245">
        <v>0</v>
      </c>
      <c r="AB245">
        <v>2</v>
      </c>
      <c r="AC245">
        <v>0</v>
      </c>
      <c r="AE245">
        <v>0</v>
      </c>
      <c r="AF245">
        <v>8</v>
      </c>
      <c r="AG245">
        <v>3</v>
      </c>
      <c r="AH245">
        <v>0</v>
      </c>
      <c r="AI245">
        <v>9</v>
      </c>
      <c r="AJ245" t="s">
        <v>125</v>
      </c>
      <c r="AK245">
        <v>0</v>
      </c>
      <c r="AL245">
        <v>3</v>
      </c>
      <c r="AM245">
        <v>2</v>
      </c>
      <c r="AN245">
        <v>1</v>
      </c>
      <c r="AO245" t="s">
        <v>625</v>
      </c>
      <c r="AP245">
        <v>42.921975000000003</v>
      </c>
      <c r="AQ245" t="s">
        <v>626</v>
      </c>
      <c r="AR245">
        <v>-77.583860999999999</v>
      </c>
      <c r="AS245">
        <v>25</v>
      </c>
      <c r="AT245">
        <v>2300</v>
      </c>
      <c r="AU245" t="s">
        <v>123</v>
      </c>
      <c r="AV245">
        <v>36</v>
      </c>
      <c r="AW245">
        <v>191</v>
      </c>
      <c r="AX245">
        <v>192</v>
      </c>
      <c r="AZ245">
        <f t="shared" si="36"/>
        <v>1296</v>
      </c>
      <c r="BA245">
        <f t="shared" si="37"/>
        <v>36481</v>
      </c>
      <c r="BB245" s="1">
        <f t="shared" si="38"/>
        <v>194.36306233438492</v>
      </c>
      <c r="BJ245">
        <v>1404</v>
      </c>
      <c r="BK245">
        <v>1</v>
      </c>
      <c r="BL245" t="str">
        <f t="shared" si="32"/>
        <v xml:space="preserve">N600C   </v>
      </c>
      <c r="BM245">
        <v>2</v>
      </c>
      <c r="BO245">
        <v>0</v>
      </c>
      <c r="BP245">
        <v>0</v>
      </c>
      <c r="BQ245">
        <v>0</v>
      </c>
      <c r="BR245">
        <v>2475</v>
      </c>
      <c r="BS245">
        <v>175</v>
      </c>
      <c r="BT245" t="s">
        <v>128</v>
      </c>
      <c r="BU245">
        <v>0</v>
      </c>
      <c r="BV245">
        <v>0</v>
      </c>
      <c r="BW245">
        <v>0</v>
      </c>
      <c r="BX245">
        <v>1</v>
      </c>
      <c r="CA245">
        <v>0</v>
      </c>
      <c r="CB245">
        <v>0</v>
      </c>
      <c r="CC245">
        <v>0</v>
      </c>
      <c r="CM245" t="str">
        <f>"17:44:34.987"</f>
        <v>17:44:34.987</v>
      </c>
      <c r="CN245">
        <v>986975091</v>
      </c>
      <c r="CQ245">
        <v>0</v>
      </c>
      <c r="CR245">
        <v>2496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3</v>
      </c>
      <c r="DB245">
        <v>2</v>
      </c>
      <c r="DC245">
        <v>0</v>
      </c>
      <c r="DD245">
        <v>2</v>
      </c>
      <c r="DE245">
        <v>0</v>
      </c>
      <c r="DF245">
        <v>7</v>
      </c>
      <c r="DG245">
        <v>7</v>
      </c>
      <c r="DH245" t="s">
        <v>124</v>
      </c>
      <c r="DI245">
        <v>71</v>
      </c>
      <c r="DJ245">
        <v>0</v>
      </c>
      <c r="DK245" t="s">
        <v>134</v>
      </c>
      <c r="DL245" t="s">
        <v>135</v>
      </c>
      <c r="DO245">
        <v>10102066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</row>
    <row r="246" spans="1:131" x14ac:dyDescent="0.35">
      <c r="A246" s="2" t="str">
        <f>"17:44:36.146"</f>
        <v>17:44:36.146</v>
      </c>
      <c r="B246" s="4">
        <f t="shared" si="39"/>
        <v>63876.146000000001</v>
      </c>
      <c r="C246" s="4">
        <f t="shared" si="33"/>
        <v>276.14600000000064</v>
      </c>
      <c r="D246" s="3">
        <f t="shared" si="34"/>
        <v>0.7393072453703704</v>
      </c>
      <c r="E246" s="2">
        <f t="shared" si="35"/>
        <v>0.7393072453703704</v>
      </c>
      <c r="G246" t="str">
        <f t="shared" si="30"/>
        <v>FFDFD7C0</v>
      </c>
      <c r="H246" t="s">
        <v>126</v>
      </c>
      <c r="I246">
        <v>8</v>
      </c>
      <c r="J246">
        <v>1008</v>
      </c>
      <c r="K246" t="s">
        <v>129</v>
      </c>
      <c r="N246" t="s">
        <v>127</v>
      </c>
      <c r="O246">
        <v>0</v>
      </c>
      <c r="P246">
        <v>3</v>
      </c>
      <c r="Q246">
        <v>0</v>
      </c>
      <c r="R246">
        <v>2</v>
      </c>
      <c r="S246">
        <v>1</v>
      </c>
      <c r="T246">
        <v>0</v>
      </c>
      <c r="U246">
        <v>0</v>
      </c>
      <c r="W246" t="str">
        <f>"17:44:35.977"</f>
        <v>17:44:35.977</v>
      </c>
      <c r="X246" t="str">
        <f>"17:44:35.777"</f>
        <v>17:44:35.777</v>
      </c>
      <c r="Y246" t="str">
        <f t="shared" si="31"/>
        <v>A7C771</v>
      </c>
      <c r="Z246">
        <v>0</v>
      </c>
      <c r="AA246">
        <v>0</v>
      </c>
      <c r="AB246">
        <v>2</v>
      </c>
      <c r="AC246">
        <v>0</v>
      </c>
      <c r="AE246">
        <v>0</v>
      </c>
      <c r="AF246">
        <v>8</v>
      </c>
      <c r="AG246">
        <v>3</v>
      </c>
      <c r="AH246">
        <v>0</v>
      </c>
      <c r="AI246">
        <v>9</v>
      </c>
      <c r="AJ246" t="s">
        <v>125</v>
      </c>
      <c r="AK246">
        <v>0</v>
      </c>
      <c r="AL246">
        <v>3</v>
      </c>
      <c r="AM246">
        <v>2</v>
      </c>
      <c r="AN246">
        <v>1</v>
      </c>
      <c r="AO246" t="s">
        <v>627</v>
      </c>
      <c r="AP246">
        <v>42.922896999999999</v>
      </c>
      <c r="AQ246" t="s">
        <v>628</v>
      </c>
      <c r="AR246">
        <v>-77.583668000000003</v>
      </c>
      <c r="AS246">
        <v>25</v>
      </c>
      <c r="AT246">
        <v>2300</v>
      </c>
      <c r="AU246" t="s">
        <v>123</v>
      </c>
      <c r="AV246">
        <v>37</v>
      </c>
      <c r="AW246">
        <v>190</v>
      </c>
      <c r="AX246">
        <v>192</v>
      </c>
      <c r="AZ246">
        <f t="shared" si="36"/>
        <v>1369</v>
      </c>
      <c r="BA246">
        <f t="shared" si="37"/>
        <v>36100</v>
      </c>
      <c r="BB246" s="1">
        <f t="shared" si="38"/>
        <v>193.56910910576616</v>
      </c>
      <c r="BJ246">
        <v>1404</v>
      </c>
      <c r="BK246">
        <v>1</v>
      </c>
      <c r="BL246" t="str">
        <f t="shared" si="32"/>
        <v xml:space="preserve">N600C   </v>
      </c>
      <c r="BM246">
        <v>2</v>
      </c>
      <c r="BO246">
        <v>0</v>
      </c>
      <c r="BP246">
        <v>0</v>
      </c>
      <c r="BQ246">
        <v>0</v>
      </c>
      <c r="BR246">
        <v>2475</v>
      </c>
      <c r="BS246">
        <v>175</v>
      </c>
      <c r="BT246" t="s">
        <v>128</v>
      </c>
      <c r="BU246">
        <v>0</v>
      </c>
      <c r="BV246">
        <v>0</v>
      </c>
      <c r="BW246">
        <v>0</v>
      </c>
      <c r="BX246">
        <v>1</v>
      </c>
      <c r="CA246">
        <v>0</v>
      </c>
      <c r="CB246">
        <v>0</v>
      </c>
      <c r="CC246">
        <v>0</v>
      </c>
      <c r="CM246" t="str">
        <f>"17:44:35.979"</f>
        <v>17:44:35.979</v>
      </c>
      <c r="CN246">
        <v>979215365</v>
      </c>
      <c r="CQ246">
        <v>0</v>
      </c>
      <c r="CR246">
        <v>2496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3</v>
      </c>
      <c r="DB246">
        <v>2</v>
      </c>
      <c r="DC246">
        <v>0</v>
      </c>
      <c r="DD246">
        <v>2</v>
      </c>
      <c r="DE246">
        <v>0</v>
      </c>
      <c r="DF246">
        <v>3</v>
      </c>
      <c r="DG246">
        <v>7</v>
      </c>
      <c r="DH246" t="s">
        <v>124</v>
      </c>
      <c r="DI246">
        <v>73</v>
      </c>
      <c r="DJ246">
        <v>0</v>
      </c>
      <c r="DK246" t="s">
        <v>130</v>
      </c>
      <c r="DL246" t="s">
        <v>131</v>
      </c>
      <c r="DO246">
        <v>11433823</v>
      </c>
      <c r="DQ246">
        <v>0</v>
      </c>
      <c r="DR246">
        <v>0</v>
      </c>
      <c r="DS246">
        <v>1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</row>
    <row r="247" spans="1:131" x14ac:dyDescent="0.35">
      <c r="A247" s="2" t="str">
        <f>"17:44:37.193"</f>
        <v>17:44:37.193</v>
      </c>
      <c r="B247" s="4">
        <f t="shared" si="39"/>
        <v>63877.193000000007</v>
      </c>
      <c r="C247" s="4">
        <f t="shared" si="33"/>
        <v>277.19300000000658</v>
      </c>
      <c r="D247" s="3">
        <f t="shared" si="34"/>
        <v>0.73931936342592597</v>
      </c>
      <c r="E247" s="2">
        <f t="shared" si="35"/>
        <v>0.73931936342592597</v>
      </c>
      <c r="G247" t="str">
        <f t="shared" si="30"/>
        <v>FFDFD7C0</v>
      </c>
      <c r="H247" t="s">
        <v>126</v>
      </c>
      <c r="I247">
        <v>8</v>
      </c>
      <c r="J247">
        <v>1008</v>
      </c>
      <c r="K247" t="s">
        <v>129</v>
      </c>
      <c r="N247" t="s">
        <v>127</v>
      </c>
      <c r="O247">
        <v>0</v>
      </c>
      <c r="P247">
        <v>3</v>
      </c>
      <c r="Q247">
        <v>0</v>
      </c>
      <c r="R247">
        <v>2</v>
      </c>
      <c r="S247">
        <v>1</v>
      </c>
      <c r="T247">
        <v>0</v>
      </c>
      <c r="U247">
        <v>0</v>
      </c>
      <c r="W247" t="str">
        <f>"17:44:36.789"</f>
        <v>17:44:36.789</v>
      </c>
      <c r="X247" t="str">
        <f>"17:44:36.589"</f>
        <v>17:44:36.589</v>
      </c>
      <c r="Y247" t="str">
        <f t="shared" si="31"/>
        <v>A7C771</v>
      </c>
      <c r="Z247">
        <v>0</v>
      </c>
      <c r="AA247">
        <v>0</v>
      </c>
      <c r="AB247">
        <v>2</v>
      </c>
      <c r="AC247">
        <v>0</v>
      </c>
      <c r="AE247">
        <v>0</v>
      </c>
      <c r="AF247">
        <v>8</v>
      </c>
      <c r="AG247">
        <v>3</v>
      </c>
      <c r="AH247">
        <v>0</v>
      </c>
      <c r="AI247">
        <v>9</v>
      </c>
      <c r="AJ247" t="s">
        <v>125</v>
      </c>
      <c r="AK247">
        <v>0</v>
      </c>
      <c r="AL247">
        <v>3</v>
      </c>
      <c r="AM247">
        <v>2</v>
      </c>
      <c r="AN247">
        <v>1</v>
      </c>
      <c r="AO247" t="s">
        <v>629</v>
      </c>
      <c r="AP247">
        <v>42.923670000000001</v>
      </c>
      <c r="AQ247" t="s">
        <v>630</v>
      </c>
      <c r="AR247">
        <v>-77.583432000000002</v>
      </c>
      <c r="AS247">
        <v>25</v>
      </c>
      <c r="AT247">
        <v>2300</v>
      </c>
      <c r="AU247" t="s">
        <v>123</v>
      </c>
      <c r="AV247">
        <v>37</v>
      </c>
      <c r="AW247">
        <v>189</v>
      </c>
      <c r="AX247">
        <v>320</v>
      </c>
      <c r="AZ247">
        <f t="shared" si="36"/>
        <v>1369</v>
      </c>
      <c r="BA247">
        <f t="shared" si="37"/>
        <v>35721</v>
      </c>
      <c r="BB247" s="1">
        <f t="shared" si="38"/>
        <v>192.58764238652489</v>
      </c>
      <c r="BJ247">
        <v>1404</v>
      </c>
      <c r="BK247">
        <v>1</v>
      </c>
      <c r="BL247" t="str">
        <f t="shared" si="32"/>
        <v xml:space="preserve">N600C   </v>
      </c>
      <c r="BM247">
        <v>2</v>
      </c>
      <c r="BO247">
        <v>0</v>
      </c>
      <c r="BP247">
        <v>0</v>
      </c>
      <c r="BQ247">
        <v>0</v>
      </c>
      <c r="BR247">
        <v>2475</v>
      </c>
      <c r="BS247">
        <v>175</v>
      </c>
      <c r="BT247" t="s">
        <v>128</v>
      </c>
      <c r="BU247">
        <v>0</v>
      </c>
      <c r="BV247">
        <v>0</v>
      </c>
      <c r="BW247">
        <v>0</v>
      </c>
      <c r="BX247">
        <v>1</v>
      </c>
      <c r="CA247">
        <v>0</v>
      </c>
      <c r="CB247">
        <v>0</v>
      </c>
      <c r="CC247">
        <v>0</v>
      </c>
      <c r="CM247" t="str">
        <f>"17:44:36.795"</f>
        <v>17:44:36.795</v>
      </c>
      <c r="CN247">
        <v>795312535</v>
      </c>
      <c r="CQ247">
        <v>0</v>
      </c>
      <c r="CR247">
        <v>2496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3</v>
      </c>
      <c r="DB247">
        <v>2</v>
      </c>
      <c r="DC247">
        <v>0</v>
      </c>
      <c r="DD247">
        <v>2</v>
      </c>
      <c r="DE247">
        <v>0</v>
      </c>
      <c r="DF247">
        <v>7</v>
      </c>
      <c r="DG247">
        <v>7</v>
      </c>
      <c r="DH247" t="s">
        <v>124</v>
      </c>
      <c r="DI247">
        <v>71</v>
      </c>
      <c r="DJ247">
        <v>1</v>
      </c>
      <c r="DK247" t="s">
        <v>134</v>
      </c>
      <c r="DL247" t="s">
        <v>135</v>
      </c>
      <c r="DO247">
        <v>11441091</v>
      </c>
      <c r="DQ247">
        <v>0</v>
      </c>
      <c r="DR247">
        <v>0</v>
      </c>
      <c r="DS247">
        <v>1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</row>
    <row r="248" spans="1:131" x14ac:dyDescent="0.35">
      <c r="A248" s="2" t="str">
        <f>"17:44:38.068"</f>
        <v>17:44:38.068</v>
      </c>
      <c r="B248" s="4">
        <f t="shared" si="39"/>
        <v>63878.067999999999</v>
      </c>
      <c r="C248" s="4">
        <f t="shared" si="33"/>
        <v>278.0679999999993</v>
      </c>
      <c r="D248" s="3">
        <f t="shared" si="34"/>
        <v>0.73932949074074072</v>
      </c>
      <c r="E248" s="2">
        <f t="shared" si="35"/>
        <v>0.73932949074074072</v>
      </c>
      <c r="G248" t="str">
        <f t="shared" si="30"/>
        <v>FFDFD7C0</v>
      </c>
      <c r="H248" t="s">
        <v>126</v>
      </c>
      <c r="I248">
        <v>8</v>
      </c>
      <c r="J248">
        <v>1008</v>
      </c>
      <c r="K248" t="s">
        <v>129</v>
      </c>
      <c r="N248" t="s">
        <v>127</v>
      </c>
      <c r="O248">
        <v>0</v>
      </c>
      <c r="P248">
        <v>3</v>
      </c>
      <c r="Q248">
        <v>0</v>
      </c>
      <c r="R248">
        <v>2</v>
      </c>
      <c r="S248">
        <v>1</v>
      </c>
      <c r="T248">
        <v>0</v>
      </c>
      <c r="U248">
        <v>0</v>
      </c>
      <c r="W248" t="str">
        <f>"17:44:37.719"</f>
        <v>17:44:37.719</v>
      </c>
      <c r="X248" t="str">
        <f>"17:44:37.619"</f>
        <v>17:44:37.619</v>
      </c>
      <c r="Y248" t="str">
        <f t="shared" si="31"/>
        <v>A7C771</v>
      </c>
      <c r="Z248">
        <v>0</v>
      </c>
      <c r="AA248">
        <v>0</v>
      </c>
      <c r="AB248">
        <v>2</v>
      </c>
      <c r="AC248">
        <v>0</v>
      </c>
      <c r="AE248">
        <v>0</v>
      </c>
      <c r="AF248">
        <v>8</v>
      </c>
      <c r="AG248">
        <v>3</v>
      </c>
      <c r="AH248">
        <v>0</v>
      </c>
      <c r="AI248">
        <v>9</v>
      </c>
      <c r="AJ248" t="s">
        <v>125</v>
      </c>
      <c r="AK248">
        <v>0</v>
      </c>
      <c r="AL248">
        <v>3</v>
      </c>
      <c r="AM248">
        <v>2</v>
      </c>
      <c r="AN248">
        <v>1</v>
      </c>
      <c r="AO248" t="s">
        <v>631</v>
      </c>
      <c r="AP248">
        <v>42.924464</v>
      </c>
      <c r="AQ248" t="s">
        <v>632</v>
      </c>
      <c r="AR248">
        <v>-77.583218000000002</v>
      </c>
      <c r="AS248">
        <v>25</v>
      </c>
      <c r="AT248">
        <v>2325</v>
      </c>
      <c r="AU248" t="s">
        <v>123</v>
      </c>
      <c r="AV248">
        <v>37</v>
      </c>
      <c r="AW248">
        <v>188</v>
      </c>
      <c r="AX248">
        <v>320</v>
      </c>
      <c r="AZ248">
        <f t="shared" si="36"/>
        <v>1369</v>
      </c>
      <c r="BA248">
        <f t="shared" si="37"/>
        <v>35344</v>
      </c>
      <c r="BB248" s="1">
        <f t="shared" si="38"/>
        <v>191.60636732634956</v>
      </c>
      <c r="BJ248">
        <v>1404</v>
      </c>
      <c r="BK248">
        <v>1</v>
      </c>
      <c r="BL248" t="str">
        <f t="shared" si="32"/>
        <v xml:space="preserve">N600C   </v>
      </c>
      <c r="BM248">
        <v>2</v>
      </c>
      <c r="BO248">
        <v>0</v>
      </c>
      <c r="BP248">
        <v>0</v>
      </c>
      <c r="BQ248">
        <v>0</v>
      </c>
      <c r="BR248">
        <v>2500</v>
      </c>
      <c r="BS248">
        <v>175</v>
      </c>
      <c r="BT248" t="s">
        <v>128</v>
      </c>
      <c r="BU248">
        <v>0</v>
      </c>
      <c r="BV248">
        <v>0</v>
      </c>
      <c r="BW248">
        <v>0</v>
      </c>
      <c r="BX248">
        <v>1</v>
      </c>
      <c r="CA248">
        <v>0</v>
      </c>
      <c r="CB248">
        <v>0</v>
      </c>
      <c r="CC248">
        <v>0</v>
      </c>
      <c r="CM248" t="str">
        <f>"17:44:37.723"</f>
        <v>17:44:37.723</v>
      </c>
      <c r="CN248">
        <v>723486974</v>
      </c>
      <c r="CQ248">
        <v>0</v>
      </c>
      <c r="CR248">
        <v>2496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3</v>
      </c>
      <c r="DB248">
        <v>2</v>
      </c>
      <c r="DC248">
        <v>0</v>
      </c>
      <c r="DD248">
        <v>2</v>
      </c>
      <c r="DE248">
        <v>0</v>
      </c>
      <c r="DF248">
        <v>7</v>
      </c>
      <c r="DG248">
        <v>7</v>
      </c>
      <c r="DH248" t="s">
        <v>124</v>
      </c>
      <c r="DI248">
        <v>71</v>
      </c>
      <c r="DJ248">
        <v>0</v>
      </c>
      <c r="DK248" t="s">
        <v>134</v>
      </c>
      <c r="DL248" t="s">
        <v>135</v>
      </c>
      <c r="DO248">
        <v>10104121</v>
      </c>
      <c r="DQ248">
        <v>0</v>
      </c>
      <c r="DR248">
        <v>0</v>
      </c>
      <c r="DS248">
        <v>1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</row>
    <row r="249" spans="1:131" x14ac:dyDescent="0.35">
      <c r="A249" s="2" t="str">
        <f>"17:44:38.943"</f>
        <v>17:44:38.943</v>
      </c>
      <c r="B249" s="4">
        <f t="shared" si="39"/>
        <v>63878.943000000007</v>
      </c>
      <c r="C249" s="4">
        <f t="shared" si="33"/>
        <v>278.94300000000658</v>
      </c>
      <c r="D249" s="3">
        <f t="shared" si="34"/>
        <v>0.73933961805555559</v>
      </c>
      <c r="E249" s="2">
        <f t="shared" si="35"/>
        <v>0.73933961805555559</v>
      </c>
      <c r="G249" t="str">
        <f t="shared" si="30"/>
        <v>FFDFD7C0</v>
      </c>
      <c r="H249" t="s">
        <v>126</v>
      </c>
      <c r="I249">
        <v>8</v>
      </c>
      <c r="J249">
        <v>1008</v>
      </c>
      <c r="K249" t="s">
        <v>129</v>
      </c>
      <c r="N249" t="s">
        <v>127</v>
      </c>
      <c r="O249">
        <v>0</v>
      </c>
      <c r="P249">
        <v>3</v>
      </c>
      <c r="Q249">
        <v>0</v>
      </c>
      <c r="R249">
        <v>2</v>
      </c>
      <c r="S249">
        <v>1</v>
      </c>
      <c r="T249">
        <v>0</v>
      </c>
      <c r="U249">
        <v>0</v>
      </c>
      <c r="W249" t="str">
        <f>"17:44:38.688"</f>
        <v>17:44:38.688</v>
      </c>
      <c r="X249" t="str">
        <f>"17:44:38.688"</f>
        <v>17:44:38.688</v>
      </c>
      <c r="Y249" t="str">
        <f t="shared" si="31"/>
        <v>A7C771</v>
      </c>
      <c r="Z249">
        <v>0</v>
      </c>
      <c r="AA249">
        <v>0</v>
      </c>
      <c r="AB249">
        <v>2</v>
      </c>
      <c r="AC249">
        <v>0</v>
      </c>
      <c r="AE249">
        <v>0</v>
      </c>
      <c r="AF249">
        <v>8</v>
      </c>
      <c r="AG249">
        <v>3</v>
      </c>
      <c r="AH249">
        <v>0</v>
      </c>
      <c r="AI249">
        <v>9</v>
      </c>
      <c r="AJ249" t="s">
        <v>125</v>
      </c>
      <c r="AK249">
        <v>0</v>
      </c>
      <c r="AL249">
        <v>3</v>
      </c>
      <c r="AM249">
        <v>2</v>
      </c>
      <c r="AN249">
        <v>1</v>
      </c>
      <c r="AO249" t="s">
        <v>633</v>
      </c>
      <c r="AP249">
        <v>42.925322000000001</v>
      </c>
      <c r="AQ249" t="s">
        <v>634</v>
      </c>
      <c r="AR249">
        <v>-77.583025000000006</v>
      </c>
      <c r="AS249">
        <v>25</v>
      </c>
      <c r="AT249">
        <v>2325</v>
      </c>
      <c r="AU249" t="s">
        <v>123</v>
      </c>
      <c r="AV249">
        <v>37</v>
      </c>
      <c r="AW249">
        <v>188</v>
      </c>
      <c r="AX249">
        <v>320</v>
      </c>
      <c r="AZ249">
        <f t="shared" si="36"/>
        <v>1369</v>
      </c>
      <c r="BA249">
        <f t="shared" si="37"/>
        <v>35344</v>
      </c>
      <c r="BB249" s="1">
        <f t="shared" si="38"/>
        <v>191.60636732634956</v>
      </c>
      <c r="BJ249">
        <v>1404</v>
      </c>
      <c r="BK249">
        <v>1</v>
      </c>
      <c r="BL249" t="str">
        <f t="shared" si="32"/>
        <v xml:space="preserve">N600C   </v>
      </c>
      <c r="BM249">
        <v>2</v>
      </c>
      <c r="BO249">
        <v>0</v>
      </c>
      <c r="BP249">
        <v>0</v>
      </c>
      <c r="BQ249">
        <v>0</v>
      </c>
      <c r="BR249">
        <v>2500</v>
      </c>
      <c r="BS249">
        <v>175</v>
      </c>
      <c r="BT249" t="s">
        <v>128</v>
      </c>
      <c r="BU249">
        <v>0</v>
      </c>
      <c r="BV249">
        <v>0</v>
      </c>
      <c r="BW249">
        <v>0</v>
      </c>
      <c r="BX249">
        <v>1</v>
      </c>
      <c r="CA249">
        <v>0</v>
      </c>
      <c r="CB249">
        <v>0</v>
      </c>
      <c r="CC249">
        <v>0</v>
      </c>
      <c r="CM249" t="str">
        <f>"17:44:38.692"</f>
        <v>17:44:38.692</v>
      </c>
      <c r="CN249">
        <v>691666527</v>
      </c>
      <c r="CQ249">
        <v>0</v>
      </c>
      <c r="CR249">
        <v>2496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3</v>
      </c>
      <c r="DB249">
        <v>2</v>
      </c>
      <c r="DC249">
        <v>0</v>
      </c>
      <c r="DD249">
        <v>2</v>
      </c>
      <c r="DE249">
        <v>0</v>
      </c>
      <c r="DF249">
        <v>7</v>
      </c>
      <c r="DG249">
        <v>7</v>
      </c>
      <c r="DH249" t="s">
        <v>124</v>
      </c>
      <c r="DI249">
        <v>71</v>
      </c>
      <c r="DJ249">
        <v>0</v>
      </c>
      <c r="DK249" t="s">
        <v>134</v>
      </c>
      <c r="DL249" t="s">
        <v>135</v>
      </c>
      <c r="DO249">
        <v>10104750</v>
      </c>
      <c r="DQ249">
        <v>0</v>
      </c>
      <c r="DR249">
        <v>0</v>
      </c>
      <c r="DS249">
        <v>1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</row>
    <row r="250" spans="1:131" x14ac:dyDescent="0.35">
      <c r="A250" s="2" t="str">
        <f>"17:44:39.865"</f>
        <v>17:44:39.865</v>
      </c>
      <c r="B250" s="4">
        <f t="shared" si="39"/>
        <v>63879.865000000005</v>
      </c>
      <c r="C250" s="4">
        <f t="shared" si="33"/>
        <v>279.86500000000524</v>
      </c>
      <c r="D250" s="3">
        <f t="shared" si="34"/>
        <v>0.73935028935185187</v>
      </c>
      <c r="E250" s="2">
        <f t="shared" si="35"/>
        <v>0.73935028935185187</v>
      </c>
      <c r="G250" t="str">
        <f t="shared" si="30"/>
        <v>FFDFD7C0</v>
      </c>
      <c r="H250" t="s">
        <v>126</v>
      </c>
      <c r="I250">
        <v>8</v>
      </c>
      <c r="J250">
        <v>1008</v>
      </c>
      <c r="K250" t="s">
        <v>129</v>
      </c>
      <c r="N250" t="s">
        <v>127</v>
      </c>
      <c r="O250">
        <v>0</v>
      </c>
      <c r="P250">
        <v>3</v>
      </c>
      <c r="Q250">
        <v>0</v>
      </c>
      <c r="R250">
        <v>2</v>
      </c>
      <c r="S250">
        <v>1</v>
      </c>
      <c r="T250">
        <v>0</v>
      </c>
      <c r="U250">
        <v>0</v>
      </c>
      <c r="W250" t="str">
        <f>"17:44:39.656"</f>
        <v>17:44:39.656</v>
      </c>
      <c r="X250" t="str">
        <f>"17:44:39.656"</f>
        <v>17:44:39.656</v>
      </c>
      <c r="Y250" t="str">
        <f t="shared" si="31"/>
        <v>A7C771</v>
      </c>
      <c r="Z250">
        <v>0</v>
      </c>
      <c r="AA250">
        <v>0</v>
      </c>
      <c r="AB250">
        <v>2</v>
      </c>
      <c r="AC250">
        <v>0</v>
      </c>
      <c r="AE250">
        <v>0</v>
      </c>
      <c r="AF250">
        <v>8</v>
      </c>
      <c r="AG250">
        <v>3</v>
      </c>
      <c r="AH250">
        <v>0</v>
      </c>
      <c r="AI250">
        <v>9</v>
      </c>
      <c r="AJ250" t="s">
        <v>125</v>
      </c>
      <c r="AK250">
        <v>0</v>
      </c>
      <c r="AL250">
        <v>3</v>
      </c>
      <c r="AM250">
        <v>2</v>
      </c>
      <c r="AN250">
        <v>1</v>
      </c>
      <c r="AO250" t="s">
        <v>635</v>
      </c>
      <c r="AP250">
        <v>42.926094999999997</v>
      </c>
      <c r="AQ250" t="s">
        <v>636</v>
      </c>
      <c r="AR250">
        <v>-77.582767000000004</v>
      </c>
      <c r="AS250">
        <v>25</v>
      </c>
      <c r="AT250">
        <v>2325</v>
      </c>
      <c r="AU250" t="s">
        <v>123</v>
      </c>
      <c r="AV250">
        <v>37</v>
      </c>
      <c r="AW250">
        <v>187</v>
      </c>
      <c r="AX250">
        <v>256</v>
      </c>
      <c r="AZ250">
        <f t="shared" si="36"/>
        <v>1369</v>
      </c>
      <c r="BA250">
        <f t="shared" si="37"/>
        <v>34969</v>
      </c>
      <c r="BB250" s="1">
        <f t="shared" si="38"/>
        <v>190.62528688503002</v>
      </c>
      <c r="BJ250">
        <v>1404</v>
      </c>
      <c r="BK250">
        <v>1</v>
      </c>
      <c r="BL250" t="str">
        <f t="shared" si="32"/>
        <v xml:space="preserve">N600C   </v>
      </c>
      <c r="BM250">
        <v>2</v>
      </c>
      <c r="BO250">
        <v>0</v>
      </c>
      <c r="BP250">
        <v>0</v>
      </c>
      <c r="BQ250">
        <v>0</v>
      </c>
      <c r="BR250">
        <v>2500</v>
      </c>
      <c r="BS250">
        <v>175</v>
      </c>
      <c r="BT250" t="s">
        <v>128</v>
      </c>
      <c r="BU250">
        <v>0</v>
      </c>
      <c r="BV250">
        <v>0</v>
      </c>
      <c r="BW250">
        <v>0</v>
      </c>
      <c r="BX250">
        <v>1</v>
      </c>
      <c r="CA250">
        <v>0</v>
      </c>
      <c r="CB250">
        <v>0</v>
      </c>
      <c r="CC250">
        <v>0</v>
      </c>
      <c r="CM250" t="str">
        <f>"17:44:39.660"</f>
        <v>17:44:39.660</v>
      </c>
      <c r="CN250">
        <v>659844883</v>
      </c>
      <c r="CQ250">
        <v>0</v>
      </c>
      <c r="CR250">
        <v>2496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3</v>
      </c>
      <c r="DB250">
        <v>2</v>
      </c>
      <c r="DC250">
        <v>0</v>
      </c>
      <c r="DD250">
        <v>2</v>
      </c>
      <c r="DE250">
        <v>0</v>
      </c>
      <c r="DF250">
        <v>7</v>
      </c>
      <c r="DG250">
        <v>7</v>
      </c>
      <c r="DH250" t="s">
        <v>124</v>
      </c>
      <c r="DI250">
        <v>71</v>
      </c>
      <c r="DJ250">
        <v>0</v>
      </c>
      <c r="DK250" t="s">
        <v>134</v>
      </c>
      <c r="DL250" t="s">
        <v>135</v>
      </c>
      <c r="DO250">
        <v>10105435</v>
      </c>
      <c r="DQ250">
        <v>0</v>
      </c>
      <c r="DR250">
        <v>0</v>
      </c>
      <c r="DS250">
        <v>1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</row>
    <row r="251" spans="1:131" x14ac:dyDescent="0.35">
      <c r="A251" s="2" t="str">
        <f>"17:44:40.787"</f>
        <v>17:44:40.787</v>
      </c>
      <c r="B251" s="4">
        <f t="shared" si="39"/>
        <v>63880.787000000004</v>
      </c>
      <c r="C251" s="4">
        <f t="shared" si="33"/>
        <v>280.7870000000039</v>
      </c>
      <c r="D251" s="3">
        <f t="shared" si="34"/>
        <v>0.73936096064814816</v>
      </c>
      <c r="E251" s="2">
        <f t="shared" si="35"/>
        <v>0.73936096064814816</v>
      </c>
      <c r="G251" t="str">
        <f t="shared" si="30"/>
        <v>FFDFD7C0</v>
      </c>
      <c r="H251" t="s">
        <v>126</v>
      </c>
      <c r="I251">
        <v>8</v>
      </c>
      <c r="J251">
        <v>1008</v>
      </c>
      <c r="K251" t="s">
        <v>129</v>
      </c>
      <c r="N251" t="s">
        <v>127</v>
      </c>
      <c r="O251">
        <v>0</v>
      </c>
      <c r="P251">
        <v>3</v>
      </c>
      <c r="Q251">
        <v>0</v>
      </c>
      <c r="R251">
        <v>2</v>
      </c>
      <c r="S251">
        <v>1</v>
      </c>
      <c r="T251">
        <v>0</v>
      </c>
      <c r="U251">
        <v>0</v>
      </c>
      <c r="W251" t="str">
        <f>"17:44:40.570"</f>
        <v>17:44:40.570</v>
      </c>
      <c r="X251" t="str">
        <f>"17:44:40.170"</f>
        <v>17:44:40.170</v>
      </c>
      <c r="Y251" t="str">
        <f t="shared" si="31"/>
        <v>A7C771</v>
      </c>
      <c r="Z251">
        <v>0</v>
      </c>
      <c r="AA251">
        <v>0</v>
      </c>
      <c r="AB251">
        <v>2</v>
      </c>
      <c r="AC251">
        <v>0</v>
      </c>
      <c r="AE251">
        <v>0</v>
      </c>
      <c r="AF251">
        <v>8</v>
      </c>
      <c r="AG251">
        <v>3</v>
      </c>
      <c r="AH251">
        <v>0</v>
      </c>
      <c r="AI251">
        <v>9</v>
      </c>
      <c r="AJ251" t="s">
        <v>125</v>
      </c>
      <c r="AK251">
        <v>0</v>
      </c>
      <c r="AL251">
        <v>3</v>
      </c>
      <c r="AM251">
        <v>2</v>
      </c>
      <c r="AN251">
        <v>1</v>
      </c>
      <c r="AO251" t="s">
        <v>637</v>
      </c>
      <c r="AP251">
        <v>42.926887999999998</v>
      </c>
      <c r="AQ251" t="s">
        <v>638</v>
      </c>
      <c r="AR251">
        <v>-77.582573999999994</v>
      </c>
      <c r="AS251">
        <v>25</v>
      </c>
      <c r="AT251">
        <v>2325</v>
      </c>
      <c r="AU251" t="s">
        <v>123</v>
      </c>
      <c r="AV251">
        <v>37</v>
      </c>
      <c r="AW251">
        <v>187</v>
      </c>
      <c r="AX251">
        <v>192</v>
      </c>
      <c r="AZ251">
        <f t="shared" si="36"/>
        <v>1369</v>
      </c>
      <c r="BA251">
        <f t="shared" si="37"/>
        <v>34969</v>
      </c>
      <c r="BB251" s="1">
        <f t="shared" si="38"/>
        <v>190.62528688503002</v>
      </c>
      <c r="BJ251">
        <v>1404</v>
      </c>
      <c r="BK251">
        <v>1</v>
      </c>
      <c r="BL251" t="str">
        <f t="shared" si="32"/>
        <v xml:space="preserve">N600C   </v>
      </c>
      <c r="BM251">
        <v>2</v>
      </c>
      <c r="BO251">
        <v>0</v>
      </c>
      <c r="BP251">
        <v>0</v>
      </c>
      <c r="BQ251">
        <v>0</v>
      </c>
      <c r="BR251">
        <v>2500</v>
      </c>
      <c r="BS251">
        <v>175</v>
      </c>
      <c r="BT251" t="s">
        <v>128</v>
      </c>
      <c r="BU251">
        <v>0</v>
      </c>
      <c r="BV251">
        <v>0</v>
      </c>
      <c r="BW251">
        <v>0</v>
      </c>
      <c r="BX251">
        <v>1</v>
      </c>
      <c r="CA251">
        <v>0</v>
      </c>
      <c r="CB251">
        <v>0</v>
      </c>
      <c r="CC251">
        <v>0</v>
      </c>
      <c r="CM251" t="str">
        <f>"17:44:40.572"</f>
        <v>17:44:40.572</v>
      </c>
      <c r="CN251">
        <v>572009483</v>
      </c>
      <c r="CQ251">
        <v>0</v>
      </c>
      <c r="CR251">
        <v>2496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3</v>
      </c>
      <c r="DB251">
        <v>2</v>
      </c>
      <c r="DC251">
        <v>0</v>
      </c>
      <c r="DD251">
        <v>2</v>
      </c>
      <c r="DE251">
        <v>0</v>
      </c>
      <c r="DF251">
        <v>7</v>
      </c>
      <c r="DG251">
        <v>7</v>
      </c>
      <c r="DH251" t="s">
        <v>124</v>
      </c>
      <c r="DI251">
        <v>71</v>
      </c>
      <c r="DJ251">
        <v>1</v>
      </c>
      <c r="DK251" t="s">
        <v>134</v>
      </c>
      <c r="DL251" t="s">
        <v>135</v>
      </c>
      <c r="DO251">
        <v>11444204</v>
      </c>
      <c r="DQ251">
        <v>0</v>
      </c>
      <c r="DR251">
        <v>0</v>
      </c>
      <c r="DS251">
        <v>1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</row>
    <row r="252" spans="1:131" x14ac:dyDescent="0.35">
      <c r="A252" s="2" t="str">
        <f>"17:44:41.693"</f>
        <v>17:44:41.693</v>
      </c>
      <c r="B252" s="4">
        <f t="shared" si="39"/>
        <v>63881.692999999999</v>
      </c>
      <c r="C252" s="4">
        <f t="shared" si="33"/>
        <v>281.6929999999993</v>
      </c>
      <c r="D252" s="3">
        <f t="shared" si="34"/>
        <v>0.73937144675925925</v>
      </c>
      <c r="E252" s="2">
        <f t="shared" si="35"/>
        <v>0.73937144675925925</v>
      </c>
      <c r="G252" t="str">
        <f t="shared" si="30"/>
        <v>FFDFD7C0</v>
      </c>
      <c r="H252" t="s">
        <v>126</v>
      </c>
      <c r="I252">
        <v>8</v>
      </c>
      <c r="J252">
        <v>1008</v>
      </c>
      <c r="K252" t="s">
        <v>129</v>
      </c>
      <c r="N252" t="s">
        <v>127</v>
      </c>
      <c r="O252">
        <v>0</v>
      </c>
      <c r="P252">
        <v>3</v>
      </c>
      <c r="Q252">
        <v>0</v>
      </c>
      <c r="R252">
        <v>2</v>
      </c>
      <c r="S252">
        <v>1</v>
      </c>
      <c r="T252">
        <v>0</v>
      </c>
      <c r="U252">
        <v>0</v>
      </c>
      <c r="W252" t="str">
        <f>"17:44:41.469"</f>
        <v>17:44:41.469</v>
      </c>
      <c r="X252" t="str">
        <f>"17:44:41.069"</f>
        <v>17:44:41.069</v>
      </c>
      <c r="Y252" t="str">
        <f t="shared" si="31"/>
        <v>A7C771</v>
      </c>
      <c r="Z252">
        <v>0</v>
      </c>
      <c r="AA252">
        <v>0</v>
      </c>
      <c r="AB252">
        <v>2</v>
      </c>
      <c r="AC252">
        <v>0</v>
      </c>
      <c r="AE252">
        <v>0</v>
      </c>
      <c r="AF252">
        <v>8</v>
      </c>
      <c r="AG252">
        <v>3</v>
      </c>
      <c r="AH252">
        <v>0</v>
      </c>
      <c r="AI252">
        <v>9</v>
      </c>
      <c r="AJ252" t="s">
        <v>125</v>
      </c>
      <c r="AK252">
        <v>0</v>
      </c>
      <c r="AL252">
        <v>3</v>
      </c>
      <c r="AM252">
        <v>2</v>
      </c>
      <c r="AN252">
        <v>1</v>
      </c>
      <c r="AO252" t="s">
        <v>639</v>
      </c>
      <c r="AP252">
        <v>42.927638999999999</v>
      </c>
      <c r="AQ252" t="s">
        <v>640</v>
      </c>
      <c r="AR252">
        <v>-77.582380999999998</v>
      </c>
      <c r="AS252">
        <v>25</v>
      </c>
      <c r="AT252">
        <v>2325</v>
      </c>
      <c r="AU252" t="s">
        <v>123</v>
      </c>
      <c r="AV252">
        <v>37</v>
      </c>
      <c r="AW252">
        <v>186</v>
      </c>
      <c r="AX252">
        <v>320</v>
      </c>
      <c r="AZ252">
        <f t="shared" si="36"/>
        <v>1369</v>
      </c>
      <c r="BA252">
        <f t="shared" si="37"/>
        <v>34596</v>
      </c>
      <c r="BB252" s="1">
        <f t="shared" si="38"/>
        <v>189.64440408301004</v>
      </c>
      <c r="BJ252">
        <v>1404</v>
      </c>
      <c r="BK252">
        <v>1</v>
      </c>
      <c r="BL252" t="str">
        <f t="shared" si="32"/>
        <v xml:space="preserve">N600C   </v>
      </c>
      <c r="BM252">
        <v>2</v>
      </c>
      <c r="BO252">
        <v>0</v>
      </c>
      <c r="BP252">
        <v>0</v>
      </c>
      <c r="BQ252">
        <v>0</v>
      </c>
      <c r="BR252">
        <v>2500</v>
      </c>
      <c r="BS252">
        <v>175</v>
      </c>
      <c r="BT252" t="s">
        <v>128</v>
      </c>
      <c r="BU252">
        <v>0</v>
      </c>
      <c r="BV252">
        <v>0</v>
      </c>
      <c r="BW252">
        <v>0</v>
      </c>
      <c r="BX252">
        <v>1</v>
      </c>
      <c r="CA252">
        <v>0</v>
      </c>
      <c r="CB252">
        <v>0</v>
      </c>
      <c r="CC252">
        <v>0</v>
      </c>
      <c r="CM252" t="str">
        <f>"17:44:41.476"</f>
        <v>17:44:41.476</v>
      </c>
      <c r="CN252">
        <v>476170459</v>
      </c>
      <c r="CQ252">
        <v>0</v>
      </c>
      <c r="CR252">
        <v>2496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3</v>
      </c>
      <c r="DB252">
        <v>2</v>
      </c>
      <c r="DC252">
        <v>0</v>
      </c>
      <c r="DD252">
        <v>2</v>
      </c>
      <c r="DE252">
        <v>0</v>
      </c>
      <c r="DF252">
        <v>7</v>
      </c>
      <c r="DG252">
        <v>7</v>
      </c>
      <c r="DH252" t="s">
        <v>124</v>
      </c>
      <c r="DI252">
        <v>71</v>
      </c>
      <c r="DJ252">
        <v>0</v>
      </c>
      <c r="DK252" t="s">
        <v>134</v>
      </c>
      <c r="DL252" t="s">
        <v>135</v>
      </c>
      <c r="DO252">
        <v>10106844</v>
      </c>
      <c r="DQ252">
        <v>0</v>
      </c>
      <c r="DR252">
        <v>0</v>
      </c>
      <c r="DS252">
        <v>1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</row>
    <row r="253" spans="1:131" x14ac:dyDescent="0.35">
      <c r="A253" s="2" t="str">
        <f>"17:44:42.615"</f>
        <v>17:44:42.615</v>
      </c>
      <c r="B253" s="4">
        <f t="shared" si="39"/>
        <v>63882.614999999998</v>
      </c>
      <c r="C253" s="4">
        <f t="shared" si="33"/>
        <v>282.61499999999796</v>
      </c>
      <c r="D253" s="3">
        <f t="shared" si="34"/>
        <v>0.73938211805555554</v>
      </c>
      <c r="E253" s="2">
        <f t="shared" si="35"/>
        <v>0.73938211805555554</v>
      </c>
      <c r="G253" t="str">
        <f t="shared" si="30"/>
        <v>FFDFD7C0</v>
      </c>
      <c r="H253" t="s">
        <v>126</v>
      </c>
      <c r="I253">
        <v>8</v>
      </c>
      <c r="J253">
        <v>1008</v>
      </c>
      <c r="K253" t="s">
        <v>129</v>
      </c>
      <c r="N253" t="s">
        <v>127</v>
      </c>
      <c r="O253">
        <v>0</v>
      </c>
      <c r="P253">
        <v>3</v>
      </c>
      <c r="Q253">
        <v>0</v>
      </c>
      <c r="R253">
        <v>2</v>
      </c>
      <c r="S253">
        <v>1</v>
      </c>
      <c r="T253">
        <v>0</v>
      </c>
      <c r="U253">
        <v>0</v>
      </c>
      <c r="W253" t="str">
        <f>"17:44:42.367"</f>
        <v>17:44:42.367</v>
      </c>
      <c r="X253" t="str">
        <f>"17:44:42.167"</f>
        <v>17:44:42.167</v>
      </c>
      <c r="Y253" t="str">
        <f t="shared" si="31"/>
        <v>A7C771</v>
      </c>
      <c r="Z253">
        <v>0</v>
      </c>
      <c r="AA253">
        <v>0</v>
      </c>
      <c r="AB253">
        <v>2</v>
      </c>
      <c r="AC253">
        <v>0</v>
      </c>
      <c r="AE253">
        <v>0</v>
      </c>
      <c r="AF253">
        <v>8</v>
      </c>
      <c r="AG253">
        <v>3</v>
      </c>
      <c r="AH253">
        <v>0</v>
      </c>
      <c r="AI253">
        <v>9</v>
      </c>
      <c r="AJ253" t="s">
        <v>125</v>
      </c>
      <c r="AK253">
        <v>0</v>
      </c>
      <c r="AL253">
        <v>3</v>
      </c>
      <c r="AM253">
        <v>2</v>
      </c>
      <c r="AN253">
        <v>1</v>
      </c>
      <c r="AO253" t="s">
        <v>641</v>
      </c>
      <c r="AP253">
        <v>42.928390999999998</v>
      </c>
      <c r="AQ253" t="s">
        <v>642</v>
      </c>
      <c r="AR253">
        <v>-77.582188000000002</v>
      </c>
      <c r="AS253">
        <v>25</v>
      </c>
      <c r="AT253">
        <v>2325</v>
      </c>
      <c r="AU253" t="s">
        <v>123</v>
      </c>
      <c r="AV253">
        <v>37</v>
      </c>
      <c r="AW253">
        <v>186</v>
      </c>
      <c r="AX253">
        <v>64</v>
      </c>
      <c r="AZ253">
        <f t="shared" si="36"/>
        <v>1369</v>
      </c>
      <c r="BA253">
        <f t="shared" si="37"/>
        <v>34596</v>
      </c>
      <c r="BB253" s="1">
        <f t="shared" si="38"/>
        <v>189.64440408301004</v>
      </c>
      <c r="BJ253">
        <v>1404</v>
      </c>
      <c r="BK253">
        <v>1</v>
      </c>
      <c r="BL253" t="str">
        <f t="shared" si="32"/>
        <v xml:space="preserve">N600C   </v>
      </c>
      <c r="BM253">
        <v>2</v>
      </c>
      <c r="BO253">
        <v>0</v>
      </c>
      <c r="BP253">
        <v>0</v>
      </c>
      <c r="BQ253">
        <v>0</v>
      </c>
      <c r="BR253">
        <v>2500</v>
      </c>
      <c r="BS253">
        <v>175</v>
      </c>
      <c r="BT253" t="s">
        <v>128</v>
      </c>
      <c r="BU253">
        <v>0</v>
      </c>
      <c r="BV253">
        <v>0</v>
      </c>
      <c r="BW253">
        <v>0</v>
      </c>
      <c r="BX253">
        <v>1</v>
      </c>
      <c r="CA253">
        <v>0</v>
      </c>
      <c r="CB253">
        <v>0</v>
      </c>
      <c r="CC253">
        <v>0</v>
      </c>
      <c r="CM253" t="str">
        <f>"17:44:42.372"</f>
        <v>17:44:42.372</v>
      </c>
      <c r="CN253">
        <v>372399911</v>
      </c>
      <c r="CQ253">
        <v>0</v>
      </c>
      <c r="CR253">
        <v>2496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3</v>
      </c>
      <c r="DB253">
        <v>2</v>
      </c>
      <c r="DC253">
        <v>0</v>
      </c>
      <c r="DD253">
        <v>2</v>
      </c>
      <c r="DE253">
        <v>0</v>
      </c>
      <c r="DF253">
        <v>7</v>
      </c>
      <c r="DG253">
        <v>7</v>
      </c>
      <c r="DH253" t="s">
        <v>124</v>
      </c>
      <c r="DI253">
        <v>71</v>
      </c>
      <c r="DJ253">
        <v>1</v>
      </c>
      <c r="DK253" t="s">
        <v>134</v>
      </c>
      <c r="DL253" t="s">
        <v>135</v>
      </c>
      <c r="DO253">
        <v>11445830</v>
      </c>
      <c r="DQ253">
        <v>0</v>
      </c>
      <c r="DR253">
        <v>0</v>
      </c>
      <c r="DS253">
        <v>1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</row>
    <row r="254" spans="1:131" x14ac:dyDescent="0.35">
      <c r="A254" s="2" t="str">
        <f>"17:44:43.554"</f>
        <v>17:44:43.554</v>
      </c>
      <c r="B254" s="4">
        <f t="shared" si="39"/>
        <v>63883.553999999996</v>
      </c>
      <c r="C254" s="4">
        <f t="shared" si="33"/>
        <v>283.55399999999645</v>
      </c>
      <c r="D254" s="3">
        <f t="shared" si="34"/>
        <v>0.73939298611111104</v>
      </c>
      <c r="E254" s="2">
        <f t="shared" si="35"/>
        <v>0.73939298611111104</v>
      </c>
      <c r="G254" t="str">
        <f t="shared" si="30"/>
        <v>FFDFD7C0</v>
      </c>
      <c r="H254" t="s">
        <v>126</v>
      </c>
      <c r="I254">
        <v>8</v>
      </c>
      <c r="J254">
        <v>1008</v>
      </c>
      <c r="K254" t="s">
        <v>129</v>
      </c>
      <c r="N254" t="s">
        <v>127</v>
      </c>
      <c r="O254">
        <v>0</v>
      </c>
      <c r="P254">
        <v>3</v>
      </c>
      <c r="Q254">
        <v>0</v>
      </c>
      <c r="R254">
        <v>2</v>
      </c>
      <c r="S254">
        <v>1</v>
      </c>
      <c r="T254">
        <v>0</v>
      </c>
      <c r="U254">
        <v>0</v>
      </c>
      <c r="W254" t="str">
        <f>"17:44:43.266"</f>
        <v>17:44:43.266</v>
      </c>
      <c r="X254" t="str">
        <f>"17:44:43.166"</f>
        <v>17:44:43.166</v>
      </c>
      <c r="Y254" t="str">
        <f t="shared" si="31"/>
        <v>A7C771</v>
      </c>
      <c r="Z254">
        <v>0</v>
      </c>
      <c r="AA254">
        <v>0</v>
      </c>
      <c r="AB254">
        <v>2</v>
      </c>
      <c r="AC254">
        <v>0</v>
      </c>
      <c r="AE254">
        <v>0</v>
      </c>
      <c r="AF254">
        <v>8</v>
      </c>
      <c r="AG254">
        <v>3</v>
      </c>
      <c r="AH254">
        <v>0</v>
      </c>
      <c r="AI254">
        <v>9</v>
      </c>
      <c r="AJ254" t="s">
        <v>125</v>
      </c>
      <c r="AK254">
        <v>0</v>
      </c>
      <c r="AL254">
        <v>3</v>
      </c>
      <c r="AM254">
        <v>2</v>
      </c>
      <c r="AN254">
        <v>1</v>
      </c>
      <c r="AO254" t="s">
        <v>643</v>
      </c>
      <c r="AP254">
        <v>42.929163000000003</v>
      </c>
      <c r="AQ254" t="s">
        <v>644</v>
      </c>
      <c r="AR254">
        <v>-77.581973000000005</v>
      </c>
      <c r="AS254">
        <v>25</v>
      </c>
      <c r="AT254">
        <v>2325</v>
      </c>
      <c r="AU254" t="s">
        <v>123</v>
      </c>
      <c r="AV254">
        <v>36</v>
      </c>
      <c r="AW254">
        <v>185</v>
      </c>
      <c r="AX254">
        <v>64</v>
      </c>
      <c r="AZ254">
        <f t="shared" si="36"/>
        <v>1296</v>
      </c>
      <c r="BA254">
        <f t="shared" si="37"/>
        <v>34225</v>
      </c>
      <c r="BB254" s="1">
        <f t="shared" si="38"/>
        <v>188.47015678881365</v>
      </c>
      <c r="BJ254">
        <v>1404</v>
      </c>
      <c r="BK254">
        <v>1</v>
      </c>
      <c r="BL254" t="str">
        <f t="shared" si="32"/>
        <v xml:space="preserve">N600C   </v>
      </c>
      <c r="BM254">
        <v>2</v>
      </c>
      <c r="BO254">
        <v>0</v>
      </c>
      <c r="BP254">
        <v>0</v>
      </c>
      <c r="BQ254">
        <v>0</v>
      </c>
      <c r="BR254">
        <v>2500</v>
      </c>
      <c r="BS254">
        <v>175</v>
      </c>
      <c r="BT254" t="s">
        <v>128</v>
      </c>
      <c r="BU254">
        <v>0</v>
      </c>
      <c r="BV254">
        <v>0</v>
      </c>
      <c r="BW254">
        <v>0</v>
      </c>
      <c r="BX254">
        <v>1</v>
      </c>
      <c r="CA254">
        <v>0</v>
      </c>
      <c r="CB254">
        <v>0</v>
      </c>
      <c r="CC254">
        <v>0</v>
      </c>
      <c r="CM254" t="str">
        <f>"17:44:43.268"</f>
        <v>17:44:43.268</v>
      </c>
      <c r="CN254">
        <v>268489570</v>
      </c>
      <c r="CQ254">
        <v>0</v>
      </c>
      <c r="CR254">
        <v>2496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3</v>
      </c>
      <c r="DB254">
        <v>2</v>
      </c>
      <c r="DC254">
        <v>0</v>
      </c>
      <c r="DD254">
        <v>2</v>
      </c>
      <c r="DE254">
        <v>0</v>
      </c>
      <c r="DF254">
        <v>7</v>
      </c>
      <c r="DG254">
        <v>7</v>
      </c>
      <c r="DH254" t="s">
        <v>124</v>
      </c>
      <c r="DI254">
        <v>71</v>
      </c>
      <c r="DJ254">
        <v>1</v>
      </c>
      <c r="DK254" t="s">
        <v>134</v>
      </c>
      <c r="DL254" t="s">
        <v>135</v>
      </c>
      <c r="DO254">
        <v>11446503</v>
      </c>
      <c r="DQ254">
        <v>0</v>
      </c>
      <c r="DR254">
        <v>0</v>
      </c>
      <c r="DS254">
        <v>1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</row>
    <row r="255" spans="1:131" x14ac:dyDescent="0.35">
      <c r="A255" s="2" t="str">
        <f>"17:44:44.583"</f>
        <v>17:44:44.583</v>
      </c>
      <c r="B255" s="4">
        <f t="shared" si="39"/>
        <v>63884.582999999999</v>
      </c>
      <c r="C255" s="4">
        <f t="shared" si="33"/>
        <v>284.58299999999872</v>
      </c>
      <c r="D255" s="3">
        <f t="shared" si="34"/>
        <v>0.73940489583333335</v>
      </c>
      <c r="E255" s="2">
        <f t="shared" si="35"/>
        <v>0.73940489583333335</v>
      </c>
      <c r="G255" t="str">
        <f t="shared" si="30"/>
        <v>FFDFD7C0</v>
      </c>
      <c r="H255" t="s">
        <v>126</v>
      </c>
      <c r="I255">
        <v>8</v>
      </c>
      <c r="J255">
        <v>1008</v>
      </c>
      <c r="K255" t="s">
        <v>129</v>
      </c>
      <c r="N255" t="s">
        <v>127</v>
      </c>
      <c r="O255">
        <v>0</v>
      </c>
      <c r="P255">
        <v>3</v>
      </c>
      <c r="Q255">
        <v>0</v>
      </c>
      <c r="R255">
        <v>2</v>
      </c>
      <c r="S255">
        <v>1</v>
      </c>
      <c r="T255">
        <v>0</v>
      </c>
      <c r="U255">
        <v>0</v>
      </c>
      <c r="W255" t="str">
        <f>"17:44:44.375"</f>
        <v>17:44:44.375</v>
      </c>
      <c r="X255" t="str">
        <f>"17:44:44.275"</f>
        <v>17:44:44.275</v>
      </c>
      <c r="Y255" t="str">
        <f t="shared" si="31"/>
        <v>A7C771</v>
      </c>
      <c r="Z255">
        <v>0</v>
      </c>
      <c r="AA255">
        <v>0</v>
      </c>
      <c r="AB255">
        <v>2</v>
      </c>
      <c r="AC255">
        <v>0</v>
      </c>
      <c r="AE255">
        <v>0</v>
      </c>
      <c r="AF255">
        <v>8</v>
      </c>
      <c r="AG255">
        <v>3</v>
      </c>
      <c r="AH255">
        <v>0</v>
      </c>
      <c r="AI255">
        <v>9</v>
      </c>
      <c r="AJ255" t="s">
        <v>125</v>
      </c>
      <c r="AK255">
        <v>0</v>
      </c>
      <c r="AL255">
        <v>3</v>
      </c>
      <c r="AM255">
        <v>2</v>
      </c>
      <c r="AN255">
        <v>1</v>
      </c>
      <c r="AO255" t="s">
        <v>645</v>
      </c>
      <c r="AP255">
        <v>42.930129000000001</v>
      </c>
      <c r="AQ255" t="s">
        <v>646</v>
      </c>
      <c r="AR255">
        <v>-77.581672999999995</v>
      </c>
      <c r="AS255">
        <v>25</v>
      </c>
      <c r="AT255">
        <v>2325</v>
      </c>
      <c r="AU255" t="s">
        <v>123</v>
      </c>
      <c r="AV255">
        <v>36</v>
      </c>
      <c r="AW255">
        <v>185</v>
      </c>
      <c r="AX255">
        <v>0</v>
      </c>
      <c r="AZ255">
        <f t="shared" si="36"/>
        <v>1296</v>
      </c>
      <c r="BA255">
        <f t="shared" si="37"/>
        <v>34225</v>
      </c>
      <c r="BB255" s="1">
        <f t="shared" si="38"/>
        <v>188.47015678881365</v>
      </c>
      <c r="BJ255">
        <v>1404</v>
      </c>
      <c r="BK255">
        <v>1</v>
      </c>
      <c r="BL255" t="str">
        <f t="shared" si="32"/>
        <v xml:space="preserve">N600C   </v>
      </c>
      <c r="BM255">
        <v>2</v>
      </c>
      <c r="BO255">
        <v>0</v>
      </c>
      <c r="BP255">
        <v>0</v>
      </c>
      <c r="BQ255">
        <v>0</v>
      </c>
      <c r="BR255">
        <v>2500</v>
      </c>
      <c r="BS255">
        <v>175</v>
      </c>
      <c r="BT255" t="s">
        <v>128</v>
      </c>
      <c r="BU255">
        <v>0</v>
      </c>
      <c r="BV255">
        <v>0</v>
      </c>
      <c r="BW255">
        <v>0</v>
      </c>
      <c r="BX255">
        <v>1</v>
      </c>
      <c r="CA255">
        <v>0</v>
      </c>
      <c r="CB255">
        <v>0</v>
      </c>
      <c r="CC255">
        <v>0</v>
      </c>
      <c r="CM255" t="str">
        <f>"17:44:44.381"</f>
        <v>17:44:44.381</v>
      </c>
      <c r="CN255">
        <v>380750168</v>
      </c>
      <c r="CQ255">
        <v>0</v>
      </c>
      <c r="CR255">
        <v>2496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3</v>
      </c>
      <c r="DB255">
        <v>2</v>
      </c>
      <c r="DC255">
        <v>0</v>
      </c>
      <c r="DD255">
        <v>2</v>
      </c>
      <c r="DE255">
        <v>0</v>
      </c>
      <c r="DF255">
        <v>7</v>
      </c>
      <c r="DG255">
        <v>7</v>
      </c>
      <c r="DH255" t="s">
        <v>124</v>
      </c>
      <c r="DI255">
        <v>71</v>
      </c>
      <c r="DJ255">
        <v>1</v>
      </c>
      <c r="DK255" t="s">
        <v>134</v>
      </c>
      <c r="DL255" t="s">
        <v>135</v>
      </c>
      <c r="DO255">
        <v>11447385</v>
      </c>
      <c r="DQ255">
        <v>0</v>
      </c>
      <c r="DR255">
        <v>0</v>
      </c>
      <c r="DS255">
        <v>1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</row>
    <row r="256" spans="1:131" x14ac:dyDescent="0.35">
      <c r="A256" s="2" t="str">
        <f>"17:44:45.677"</f>
        <v>17:44:45.677</v>
      </c>
      <c r="B256" s="4">
        <f t="shared" si="39"/>
        <v>63885.677000000003</v>
      </c>
      <c r="C256" s="4">
        <f t="shared" si="33"/>
        <v>285.67700000000332</v>
      </c>
      <c r="D256" s="3">
        <f t="shared" si="34"/>
        <v>0.73941755787037045</v>
      </c>
      <c r="E256" s="2">
        <f t="shared" si="35"/>
        <v>0.73941755787037045</v>
      </c>
      <c r="G256" t="str">
        <f t="shared" si="30"/>
        <v>FFDFD7C0</v>
      </c>
      <c r="H256" t="s">
        <v>126</v>
      </c>
      <c r="I256">
        <v>8</v>
      </c>
      <c r="J256">
        <v>1008</v>
      </c>
      <c r="K256" t="s">
        <v>129</v>
      </c>
      <c r="N256" t="s">
        <v>127</v>
      </c>
      <c r="O256">
        <v>0</v>
      </c>
      <c r="P256">
        <v>3</v>
      </c>
      <c r="Q256">
        <v>0</v>
      </c>
      <c r="R256">
        <v>2</v>
      </c>
      <c r="S256">
        <v>1</v>
      </c>
      <c r="T256">
        <v>0</v>
      </c>
      <c r="U256">
        <v>0</v>
      </c>
      <c r="W256" t="str">
        <f>"17:44:45.430"</f>
        <v>17:44:45.430</v>
      </c>
      <c r="X256" t="str">
        <f>"17:44:45.330"</f>
        <v>17:44:45.330</v>
      </c>
      <c r="Y256" t="str">
        <f t="shared" si="31"/>
        <v>A7C771</v>
      </c>
      <c r="Z256">
        <v>0</v>
      </c>
      <c r="AA256">
        <v>0</v>
      </c>
      <c r="AB256">
        <v>2</v>
      </c>
      <c r="AC256">
        <v>0</v>
      </c>
      <c r="AE256">
        <v>0</v>
      </c>
      <c r="AF256">
        <v>8</v>
      </c>
      <c r="AG256">
        <v>3</v>
      </c>
      <c r="AH256">
        <v>0</v>
      </c>
      <c r="AI256">
        <v>9</v>
      </c>
      <c r="AJ256" t="s">
        <v>125</v>
      </c>
      <c r="AK256">
        <v>0</v>
      </c>
      <c r="AL256">
        <v>3</v>
      </c>
      <c r="AM256">
        <v>2</v>
      </c>
      <c r="AN256">
        <v>1</v>
      </c>
      <c r="AO256" t="s">
        <v>647</v>
      </c>
      <c r="AP256">
        <v>42.931072999999998</v>
      </c>
      <c r="AQ256" t="s">
        <v>648</v>
      </c>
      <c r="AR256">
        <v>-77.581457999999998</v>
      </c>
      <c r="AS256">
        <v>25</v>
      </c>
      <c r="AT256">
        <v>2325</v>
      </c>
      <c r="AU256" t="s">
        <v>123</v>
      </c>
      <c r="AV256">
        <v>36</v>
      </c>
      <c r="AW256">
        <v>185</v>
      </c>
      <c r="AX256">
        <v>0</v>
      </c>
      <c r="AZ256">
        <f t="shared" si="36"/>
        <v>1296</v>
      </c>
      <c r="BA256">
        <f t="shared" si="37"/>
        <v>34225</v>
      </c>
      <c r="BB256" s="1">
        <f t="shared" si="38"/>
        <v>188.47015678881365</v>
      </c>
      <c r="BJ256">
        <v>1404</v>
      </c>
      <c r="BK256">
        <v>1</v>
      </c>
      <c r="BL256" t="str">
        <f t="shared" si="32"/>
        <v xml:space="preserve">N600C   </v>
      </c>
      <c r="BM256">
        <v>2</v>
      </c>
      <c r="BO256">
        <v>0</v>
      </c>
      <c r="BP256">
        <v>0</v>
      </c>
      <c r="BQ256">
        <v>0</v>
      </c>
      <c r="BR256">
        <v>2500</v>
      </c>
      <c r="BS256">
        <v>175</v>
      </c>
      <c r="BT256" t="s">
        <v>128</v>
      </c>
      <c r="BU256">
        <v>0</v>
      </c>
      <c r="BV256">
        <v>0</v>
      </c>
      <c r="BW256">
        <v>0</v>
      </c>
      <c r="BX256">
        <v>1</v>
      </c>
      <c r="CA256">
        <v>0</v>
      </c>
      <c r="CB256">
        <v>0</v>
      </c>
      <c r="CC256">
        <v>0</v>
      </c>
      <c r="CM256" t="str">
        <f>"17:44:45.437"</f>
        <v>17:44:45.437</v>
      </c>
      <c r="CN256">
        <v>436900979</v>
      </c>
      <c r="CQ256">
        <v>0</v>
      </c>
      <c r="CR256">
        <v>2496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3</v>
      </c>
      <c r="DB256">
        <v>2</v>
      </c>
      <c r="DC256">
        <v>0</v>
      </c>
      <c r="DD256">
        <v>2</v>
      </c>
      <c r="DE256">
        <v>0</v>
      </c>
      <c r="DF256">
        <v>7</v>
      </c>
      <c r="DG256">
        <v>7</v>
      </c>
      <c r="DH256" t="s">
        <v>124</v>
      </c>
      <c r="DI256">
        <v>71</v>
      </c>
      <c r="DJ256">
        <v>0</v>
      </c>
      <c r="DK256" t="s">
        <v>134</v>
      </c>
      <c r="DL256" t="s">
        <v>135</v>
      </c>
      <c r="DO256">
        <v>10109602</v>
      </c>
      <c r="DQ256">
        <v>0</v>
      </c>
      <c r="DR256">
        <v>0</v>
      </c>
      <c r="DS256">
        <v>1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</row>
    <row r="257" spans="1:131" x14ac:dyDescent="0.35">
      <c r="A257" s="2" t="str">
        <f>"17:44:46.569"</f>
        <v>17:44:46.569</v>
      </c>
      <c r="B257" s="4">
        <f t="shared" si="39"/>
        <v>63886.56900000001</v>
      </c>
      <c r="C257" s="4">
        <f t="shared" si="33"/>
        <v>286.56900000001042</v>
      </c>
      <c r="D257" s="3">
        <f t="shared" si="34"/>
        <v>0.73942788194444453</v>
      </c>
      <c r="E257" s="2">
        <f t="shared" si="35"/>
        <v>0.73942788194444453</v>
      </c>
      <c r="G257" t="str">
        <f t="shared" si="30"/>
        <v>FFDFD7C0</v>
      </c>
      <c r="H257" t="s">
        <v>126</v>
      </c>
      <c r="I257">
        <v>8</v>
      </c>
      <c r="J257">
        <v>1008</v>
      </c>
      <c r="K257" t="s">
        <v>129</v>
      </c>
      <c r="N257" t="s">
        <v>127</v>
      </c>
      <c r="O257">
        <v>0</v>
      </c>
      <c r="P257">
        <v>3</v>
      </c>
      <c r="Q257">
        <v>0</v>
      </c>
      <c r="R257">
        <v>2</v>
      </c>
      <c r="S257">
        <v>1</v>
      </c>
      <c r="T257">
        <v>0</v>
      </c>
      <c r="U257">
        <v>0</v>
      </c>
      <c r="W257" t="str">
        <f>"17:44:46.359"</f>
        <v>17:44:46.359</v>
      </c>
      <c r="X257" t="str">
        <f>"17:44:46.259"</f>
        <v>17:44:46.259</v>
      </c>
      <c r="Y257" t="str">
        <f t="shared" si="31"/>
        <v>A7C771</v>
      </c>
      <c r="Z257">
        <v>0</v>
      </c>
      <c r="AA257">
        <v>0</v>
      </c>
      <c r="AB257">
        <v>2</v>
      </c>
      <c r="AC257">
        <v>0</v>
      </c>
      <c r="AE257">
        <v>0</v>
      </c>
      <c r="AF257">
        <v>8</v>
      </c>
      <c r="AG257">
        <v>3</v>
      </c>
      <c r="AH257">
        <v>0</v>
      </c>
      <c r="AI257">
        <v>9</v>
      </c>
      <c r="AJ257" t="s">
        <v>125</v>
      </c>
      <c r="AK257">
        <v>0</v>
      </c>
      <c r="AL257">
        <v>3</v>
      </c>
      <c r="AM257">
        <v>2</v>
      </c>
      <c r="AN257">
        <v>1</v>
      </c>
      <c r="AO257" t="s">
        <v>649</v>
      </c>
      <c r="AP257">
        <v>42.931823999999999</v>
      </c>
      <c r="AQ257" t="s">
        <v>650</v>
      </c>
      <c r="AR257">
        <v>-77.581243999999998</v>
      </c>
      <c r="AS257">
        <v>25</v>
      </c>
      <c r="AT257">
        <v>2325</v>
      </c>
      <c r="AU257" t="s">
        <v>123</v>
      </c>
      <c r="AV257">
        <v>37</v>
      </c>
      <c r="AW257">
        <v>184</v>
      </c>
      <c r="AX257">
        <v>64</v>
      </c>
      <c r="AZ257">
        <f t="shared" si="36"/>
        <v>1369</v>
      </c>
      <c r="BA257">
        <f t="shared" si="37"/>
        <v>33856</v>
      </c>
      <c r="BB257" s="1">
        <f t="shared" si="38"/>
        <v>187.68324379123459</v>
      </c>
      <c r="BJ257">
        <v>1404</v>
      </c>
      <c r="BK257">
        <v>1</v>
      </c>
      <c r="BL257" t="str">
        <f t="shared" si="32"/>
        <v xml:space="preserve">N600C   </v>
      </c>
      <c r="BM257">
        <v>2</v>
      </c>
      <c r="BO257">
        <v>0</v>
      </c>
      <c r="BP257">
        <v>0</v>
      </c>
      <c r="BQ257">
        <v>0</v>
      </c>
      <c r="BR257">
        <v>2500</v>
      </c>
      <c r="BS257">
        <v>175</v>
      </c>
      <c r="BT257" t="s">
        <v>128</v>
      </c>
      <c r="BU257">
        <v>0</v>
      </c>
      <c r="BV257">
        <v>0</v>
      </c>
      <c r="BW257">
        <v>0</v>
      </c>
      <c r="BX257">
        <v>1</v>
      </c>
      <c r="CA257">
        <v>0</v>
      </c>
      <c r="CB257">
        <v>0</v>
      </c>
      <c r="CC257">
        <v>0</v>
      </c>
      <c r="CM257" t="str">
        <f>"17:44:46.365"</f>
        <v>17:44:46.365</v>
      </c>
      <c r="CN257">
        <v>365101168</v>
      </c>
      <c r="CQ257">
        <v>0</v>
      </c>
      <c r="CR257">
        <v>2496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3</v>
      </c>
      <c r="DB257">
        <v>2</v>
      </c>
      <c r="DC257">
        <v>0</v>
      </c>
      <c r="DD257">
        <v>2</v>
      </c>
      <c r="DE257">
        <v>0</v>
      </c>
      <c r="DF257">
        <v>7</v>
      </c>
      <c r="DG257">
        <v>7</v>
      </c>
      <c r="DH257" t="s">
        <v>124</v>
      </c>
      <c r="DI257">
        <v>71</v>
      </c>
      <c r="DJ257">
        <v>1</v>
      </c>
      <c r="DK257" t="s">
        <v>134</v>
      </c>
      <c r="DL257" t="s">
        <v>135</v>
      </c>
      <c r="DO257">
        <v>11449194</v>
      </c>
      <c r="DQ257">
        <v>0</v>
      </c>
      <c r="DR257">
        <v>0</v>
      </c>
      <c r="DS257">
        <v>1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</row>
    <row r="258" spans="1:131" x14ac:dyDescent="0.35">
      <c r="A258" s="2" t="str">
        <f>"17:44:47.741"</f>
        <v>17:44:47.741</v>
      </c>
      <c r="B258" s="4">
        <f t="shared" si="39"/>
        <v>63887.741000000002</v>
      </c>
      <c r="C258" s="4">
        <f t="shared" si="33"/>
        <v>287.7410000000018</v>
      </c>
      <c r="D258" s="3">
        <f t="shared" si="34"/>
        <v>0.73944144675925927</v>
      </c>
      <c r="E258" s="2">
        <f t="shared" si="35"/>
        <v>0.73944144675925927</v>
      </c>
      <c r="G258" t="str">
        <f t="shared" si="30"/>
        <v>FFDFD7C0</v>
      </c>
      <c r="H258" t="s">
        <v>126</v>
      </c>
      <c r="I258">
        <v>8</v>
      </c>
      <c r="J258">
        <v>1008</v>
      </c>
      <c r="K258" t="s">
        <v>129</v>
      </c>
      <c r="N258" t="s">
        <v>127</v>
      </c>
      <c r="O258">
        <v>0</v>
      </c>
      <c r="P258">
        <v>3</v>
      </c>
      <c r="Q258">
        <v>0</v>
      </c>
      <c r="R258">
        <v>2</v>
      </c>
      <c r="S258">
        <v>1</v>
      </c>
      <c r="T258">
        <v>0</v>
      </c>
      <c r="U258">
        <v>0</v>
      </c>
      <c r="W258" t="str">
        <f>"17:44:47.320"</f>
        <v>17:44:47.320</v>
      </c>
      <c r="X258" t="str">
        <f>"17:44:47.320"</f>
        <v>17:44:47.320</v>
      </c>
      <c r="Y258" t="str">
        <f t="shared" si="31"/>
        <v>A7C771</v>
      </c>
      <c r="Z258">
        <v>0</v>
      </c>
      <c r="AA258">
        <v>0</v>
      </c>
      <c r="AB258">
        <v>2</v>
      </c>
      <c r="AC258">
        <v>0</v>
      </c>
      <c r="AE258">
        <v>0</v>
      </c>
      <c r="AF258">
        <v>8</v>
      </c>
      <c r="AG258">
        <v>3</v>
      </c>
      <c r="AH258">
        <v>0</v>
      </c>
      <c r="AI258">
        <v>9</v>
      </c>
      <c r="AJ258" t="s">
        <v>125</v>
      </c>
      <c r="AK258">
        <v>0</v>
      </c>
      <c r="AL258">
        <v>3</v>
      </c>
      <c r="AM258">
        <v>2</v>
      </c>
      <c r="AN258">
        <v>1</v>
      </c>
      <c r="AO258" t="s">
        <v>651</v>
      </c>
      <c r="AP258">
        <v>42.932702999999997</v>
      </c>
      <c r="AQ258" t="s">
        <v>652</v>
      </c>
      <c r="AR258">
        <v>-77.580985999999996</v>
      </c>
      <c r="AS258">
        <v>25</v>
      </c>
      <c r="AT258">
        <v>2325</v>
      </c>
      <c r="AU258" t="s">
        <v>123</v>
      </c>
      <c r="AV258">
        <v>38</v>
      </c>
      <c r="AW258">
        <v>184</v>
      </c>
      <c r="AX258">
        <v>-64</v>
      </c>
      <c r="AZ258">
        <f t="shared" si="36"/>
        <v>1444</v>
      </c>
      <c r="BA258">
        <f t="shared" si="37"/>
        <v>33856</v>
      </c>
      <c r="BB258" s="1">
        <f t="shared" si="38"/>
        <v>187.88294228055935</v>
      </c>
      <c r="BJ258">
        <v>1404</v>
      </c>
      <c r="BK258">
        <v>1</v>
      </c>
      <c r="BL258" t="str">
        <f t="shared" si="32"/>
        <v xml:space="preserve">N600C   </v>
      </c>
      <c r="BM258">
        <v>2</v>
      </c>
      <c r="BO258">
        <v>0</v>
      </c>
      <c r="BP258">
        <v>0</v>
      </c>
      <c r="BQ258">
        <v>0</v>
      </c>
      <c r="BR258">
        <v>2525</v>
      </c>
      <c r="BS258">
        <v>200</v>
      </c>
      <c r="BT258" t="s">
        <v>128</v>
      </c>
      <c r="BU258">
        <v>0</v>
      </c>
      <c r="BV258">
        <v>0</v>
      </c>
      <c r="BW258">
        <v>0</v>
      </c>
      <c r="BX258">
        <v>1</v>
      </c>
      <c r="CA258">
        <v>0</v>
      </c>
      <c r="CB258">
        <v>0</v>
      </c>
      <c r="CC258">
        <v>0</v>
      </c>
      <c r="CM258" t="str">
        <f>"17:44:47.325"</f>
        <v>17:44:47.325</v>
      </c>
      <c r="CN258">
        <v>325244459</v>
      </c>
      <c r="CQ258">
        <v>0</v>
      </c>
      <c r="CR258">
        <v>2496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3</v>
      </c>
      <c r="DB258">
        <v>2</v>
      </c>
      <c r="DC258">
        <v>0</v>
      </c>
      <c r="DD258">
        <v>2</v>
      </c>
      <c r="DE258">
        <v>0</v>
      </c>
      <c r="DF258">
        <v>7</v>
      </c>
      <c r="DG258">
        <v>7</v>
      </c>
      <c r="DH258" t="s">
        <v>124</v>
      </c>
      <c r="DI258">
        <v>71</v>
      </c>
      <c r="DJ258">
        <v>1</v>
      </c>
      <c r="DK258" t="s">
        <v>134</v>
      </c>
      <c r="DL258" t="s">
        <v>135</v>
      </c>
      <c r="DO258">
        <v>11450001</v>
      </c>
      <c r="DQ258">
        <v>0</v>
      </c>
      <c r="DR258">
        <v>0</v>
      </c>
      <c r="DS258">
        <v>1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</row>
    <row r="259" spans="1:131" x14ac:dyDescent="0.35">
      <c r="A259" s="2" t="str">
        <f>"17:44:48.742"</f>
        <v>17:44:48.742</v>
      </c>
      <c r="B259" s="4">
        <f t="shared" si="39"/>
        <v>63888.741999999991</v>
      </c>
      <c r="C259" s="4">
        <f t="shared" si="33"/>
        <v>288.74199999999109</v>
      </c>
      <c r="D259" s="3">
        <f t="shared" si="34"/>
        <v>0.73945303240740734</v>
      </c>
      <c r="E259" s="2">
        <f t="shared" si="35"/>
        <v>0.73945303240740734</v>
      </c>
      <c r="G259" t="str">
        <f t="shared" ref="G259:G322" si="40">"FFDFD7C0"</f>
        <v>FFDFD7C0</v>
      </c>
      <c r="H259" t="s">
        <v>126</v>
      </c>
      <c r="I259">
        <v>8</v>
      </c>
      <c r="J259">
        <v>1008</v>
      </c>
      <c r="K259" t="s">
        <v>129</v>
      </c>
      <c r="N259" t="s">
        <v>127</v>
      </c>
      <c r="O259">
        <v>0</v>
      </c>
      <c r="P259">
        <v>3</v>
      </c>
      <c r="Q259">
        <v>0</v>
      </c>
      <c r="R259">
        <v>2</v>
      </c>
      <c r="S259">
        <v>1</v>
      </c>
      <c r="T259">
        <v>0</v>
      </c>
      <c r="U259">
        <v>0</v>
      </c>
      <c r="W259" t="str">
        <f>"17:44:48.398"</f>
        <v>17:44:48.398</v>
      </c>
      <c r="X259" t="str">
        <f>"17:44:47.898"</f>
        <v>17:44:47.898</v>
      </c>
      <c r="Y259" t="str">
        <f t="shared" ref="Y259:Y322" si="41">"A7C771"</f>
        <v>A7C771</v>
      </c>
      <c r="Z259">
        <v>0</v>
      </c>
      <c r="AA259">
        <v>0</v>
      </c>
      <c r="AB259">
        <v>2</v>
      </c>
      <c r="AC259">
        <v>0</v>
      </c>
      <c r="AE259">
        <v>0</v>
      </c>
      <c r="AF259">
        <v>8</v>
      </c>
      <c r="AG259">
        <v>3</v>
      </c>
      <c r="AH259">
        <v>0</v>
      </c>
      <c r="AI259">
        <v>9</v>
      </c>
      <c r="AJ259" t="s">
        <v>125</v>
      </c>
      <c r="AK259">
        <v>0</v>
      </c>
      <c r="AL259">
        <v>3</v>
      </c>
      <c r="AM259">
        <v>2</v>
      </c>
      <c r="AN259">
        <v>1</v>
      </c>
      <c r="AO259" t="s">
        <v>653</v>
      </c>
      <c r="AP259">
        <v>42.933582999999999</v>
      </c>
      <c r="AQ259" t="s">
        <v>654</v>
      </c>
      <c r="AR259">
        <v>-77.580686</v>
      </c>
      <c r="AS259">
        <v>25</v>
      </c>
      <c r="AT259">
        <v>2325</v>
      </c>
      <c r="AU259" t="s">
        <v>123</v>
      </c>
      <c r="AV259">
        <v>39</v>
      </c>
      <c r="AW259">
        <v>183</v>
      </c>
      <c r="AX259">
        <v>-64</v>
      </c>
      <c r="AZ259">
        <f t="shared" si="36"/>
        <v>1521</v>
      </c>
      <c r="BA259">
        <f t="shared" si="37"/>
        <v>33489</v>
      </c>
      <c r="BB259" s="1">
        <f t="shared" si="38"/>
        <v>187.1095935541521</v>
      </c>
      <c r="BJ259">
        <v>1404</v>
      </c>
      <c r="BK259">
        <v>1</v>
      </c>
      <c r="BL259" t="str">
        <f t="shared" ref="BL259:BL322" si="42">"N600C   "</f>
        <v xml:space="preserve">N600C   </v>
      </c>
      <c r="BM259">
        <v>2</v>
      </c>
      <c r="BO259">
        <v>0</v>
      </c>
      <c r="BP259">
        <v>0</v>
      </c>
      <c r="BQ259">
        <v>0</v>
      </c>
      <c r="BR259">
        <v>2500</v>
      </c>
      <c r="BS259">
        <v>175</v>
      </c>
      <c r="BT259" t="s">
        <v>128</v>
      </c>
      <c r="BU259">
        <v>0</v>
      </c>
      <c r="BV259">
        <v>0</v>
      </c>
      <c r="BW259">
        <v>0</v>
      </c>
      <c r="BX259">
        <v>1</v>
      </c>
      <c r="CA259">
        <v>0</v>
      </c>
      <c r="CB259">
        <v>0</v>
      </c>
      <c r="CC259">
        <v>0</v>
      </c>
      <c r="CM259" t="str">
        <f>"17:44:48.405"</f>
        <v>17:44:48.405</v>
      </c>
      <c r="CN259">
        <v>405455254</v>
      </c>
      <c r="CQ259">
        <v>0</v>
      </c>
      <c r="CR259">
        <v>2496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3</v>
      </c>
      <c r="DB259">
        <v>2</v>
      </c>
      <c r="DC259">
        <v>0</v>
      </c>
      <c r="DD259">
        <v>2</v>
      </c>
      <c r="DE259">
        <v>0</v>
      </c>
      <c r="DF259">
        <v>7</v>
      </c>
      <c r="DG259">
        <v>7</v>
      </c>
      <c r="DH259" t="s">
        <v>124</v>
      </c>
      <c r="DI259">
        <v>407</v>
      </c>
      <c r="DJ259">
        <v>3</v>
      </c>
      <c r="DK259" t="s">
        <v>132</v>
      </c>
      <c r="DL259" t="s">
        <v>133</v>
      </c>
      <c r="DO259">
        <v>1503147</v>
      </c>
      <c r="DQ259">
        <v>0</v>
      </c>
      <c r="DR259">
        <v>0</v>
      </c>
      <c r="DS259">
        <v>1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</row>
    <row r="260" spans="1:131" x14ac:dyDescent="0.35">
      <c r="A260" s="2" t="str">
        <f>"17:44:49.630"</f>
        <v>17:44:49.630</v>
      </c>
      <c r="B260" s="4">
        <f t="shared" si="39"/>
        <v>63889.63</v>
      </c>
      <c r="C260" s="4">
        <f t="shared" ref="C260:C323" si="43">B260-63600</f>
        <v>289.62999999999738</v>
      </c>
      <c r="D260" s="3">
        <f t="shared" ref="D260:D323" si="44">E260</f>
        <v>0.73946331018518519</v>
      </c>
      <c r="E260" s="2">
        <f t="shared" ref="E260:E323" si="45">TIMEVALUE(A260)</f>
        <v>0.73946331018518519</v>
      </c>
      <c r="G260" t="str">
        <f t="shared" si="40"/>
        <v>FFDFD7C0</v>
      </c>
      <c r="H260" t="s">
        <v>126</v>
      </c>
      <c r="I260">
        <v>8</v>
      </c>
      <c r="J260">
        <v>1008</v>
      </c>
      <c r="K260" t="s">
        <v>129</v>
      </c>
      <c r="N260" t="s">
        <v>127</v>
      </c>
      <c r="O260">
        <v>0</v>
      </c>
      <c r="P260">
        <v>3</v>
      </c>
      <c r="Q260">
        <v>0</v>
      </c>
      <c r="R260">
        <v>2</v>
      </c>
      <c r="S260">
        <v>1</v>
      </c>
      <c r="T260">
        <v>0</v>
      </c>
      <c r="U260">
        <v>0</v>
      </c>
      <c r="W260" t="str">
        <f>"17:44:49.352"</f>
        <v>17:44:49.352</v>
      </c>
      <c r="X260" t="str">
        <f>"17:44:48.952"</f>
        <v>17:44:48.952</v>
      </c>
      <c r="Y260" t="str">
        <f t="shared" si="41"/>
        <v>A7C771</v>
      </c>
      <c r="Z260">
        <v>0</v>
      </c>
      <c r="AA260">
        <v>0</v>
      </c>
      <c r="AB260">
        <v>2</v>
      </c>
      <c r="AC260">
        <v>0</v>
      </c>
      <c r="AE260">
        <v>0</v>
      </c>
      <c r="AF260">
        <v>8</v>
      </c>
      <c r="AG260">
        <v>3</v>
      </c>
      <c r="AH260">
        <v>0</v>
      </c>
      <c r="AI260">
        <v>9</v>
      </c>
      <c r="AJ260" t="s">
        <v>125</v>
      </c>
      <c r="AK260">
        <v>0</v>
      </c>
      <c r="AL260">
        <v>3</v>
      </c>
      <c r="AM260">
        <v>2</v>
      </c>
      <c r="AN260">
        <v>1</v>
      </c>
      <c r="AO260" t="s">
        <v>655</v>
      </c>
      <c r="AP260">
        <v>42.934334</v>
      </c>
      <c r="AQ260" t="s">
        <v>656</v>
      </c>
      <c r="AR260">
        <v>-77.580471000000003</v>
      </c>
      <c r="AS260">
        <v>25</v>
      </c>
      <c r="AT260">
        <v>2325</v>
      </c>
      <c r="AU260" t="s">
        <v>123</v>
      </c>
      <c r="AV260">
        <v>40</v>
      </c>
      <c r="AW260">
        <v>183</v>
      </c>
      <c r="AX260">
        <v>-64</v>
      </c>
      <c r="AZ260">
        <f t="shared" ref="AZ260:AZ323" si="46">(AV260)^2</f>
        <v>1600</v>
      </c>
      <c r="BA260">
        <f t="shared" ref="BA260:BA323" si="47">(AW260)^2</f>
        <v>33489</v>
      </c>
      <c r="BB260" s="1">
        <f t="shared" ref="BB260:BB323" si="48">SQRT(AZ260+BA260)</f>
        <v>187.32058082335749</v>
      </c>
      <c r="BJ260">
        <v>1404</v>
      </c>
      <c r="BK260">
        <v>1</v>
      </c>
      <c r="BL260" t="str">
        <f t="shared" si="42"/>
        <v xml:space="preserve">N600C   </v>
      </c>
      <c r="BM260">
        <v>2</v>
      </c>
      <c r="BO260">
        <v>0</v>
      </c>
      <c r="BP260">
        <v>0</v>
      </c>
      <c r="BQ260">
        <v>0</v>
      </c>
      <c r="BR260">
        <v>2500</v>
      </c>
      <c r="BS260">
        <v>175</v>
      </c>
      <c r="BT260" t="s">
        <v>128</v>
      </c>
      <c r="BU260">
        <v>0</v>
      </c>
      <c r="BV260">
        <v>0</v>
      </c>
      <c r="BW260">
        <v>0</v>
      </c>
      <c r="BX260">
        <v>1</v>
      </c>
      <c r="CA260">
        <v>0</v>
      </c>
      <c r="CB260">
        <v>0</v>
      </c>
      <c r="CC260">
        <v>0</v>
      </c>
      <c r="CM260" t="str">
        <f>"17:44:49.358"</f>
        <v>17:44:49.358</v>
      </c>
      <c r="CN260">
        <v>357619604</v>
      </c>
      <c r="CQ260">
        <v>0</v>
      </c>
      <c r="CR260">
        <v>2496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3</v>
      </c>
      <c r="DB260">
        <v>2</v>
      </c>
      <c r="DC260">
        <v>0</v>
      </c>
      <c r="DD260">
        <v>2</v>
      </c>
      <c r="DE260">
        <v>0</v>
      </c>
      <c r="DF260">
        <v>7</v>
      </c>
      <c r="DG260">
        <v>7</v>
      </c>
      <c r="DH260" t="s">
        <v>124</v>
      </c>
      <c r="DI260">
        <v>71</v>
      </c>
      <c r="DJ260">
        <v>1</v>
      </c>
      <c r="DK260" t="s">
        <v>134</v>
      </c>
      <c r="DL260" t="s">
        <v>135</v>
      </c>
      <c r="DO260">
        <v>11451669</v>
      </c>
      <c r="DQ260">
        <v>0</v>
      </c>
      <c r="DR260">
        <v>0</v>
      </c>
      <c r="DS260">
        <v>1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</row>
    <row r="261" spans="1:131" x14ac:dyDescent="0.35">
      <c r="A261" s="2" t="str">
        <f>"17:44:50.630"</f>
        <v>17:44:50.630</v>
      </c>
      <c r="B261" s="4">
        <f t="shared" si="39"/>
        <v>63890.63</v>
      </c>
      <c r="C261" s="4">
        <f t="shared" si="43"/>
        <v>290.62999999999738</v>
      </c>
      <c r="D261" s="3">
        <f t="shared" si="44"/>
        <v>0.73947488425925922</v>
      </c>
      <c r="E261" s="2">
        <f t="shared" si="45"/>
        <v>0.73947488425925922</v>
      </c>
      <c r="G261" t="str">
        <f t="shared" si="40"/>
        <v>FFDFD7C0</v>
      </c>
      <c r="H261" t="s">
        <v>126</v>
      </c>
      <c r="I261">
        <v>8</v>
      </c>
      <c r="J261">
        <v>1008</v>
      </c>
      <c r="K261" t="s">
        <v>129</v>
      </c>
      <c r="N261" t="s">
        <v>127</v>
      </c>
      <c r="O261">
        <v>0</v>
      </c>
      <c r="P261">
        <v>3</v>
      </c>
      <c r="Q261">
        <v>0</v>
      </c>
      <c r="R261">
        <v>2</v>
      </c>
      <c r="S261">
        <v>1</v>
      </c>
      <c r="T261">
        <v>0</v>
      </c>
      <c r="U261">
        <v>0</v>
      </c>
      <c r="W261" t="str">
        <f>"17:44:50.375"</f>
        <v>17:44:50.375</v>
      </c>
      <c r="X261" t="str">
        <f>"17:44:50.175"</f>
        <v>17:44:50.175</v>
      </c>
      <c r="Y261" t="str">
        <f t="shared" si="41"/>
        <v>A7C771</v>
      </c>
      <c r="Z261">
        <v>0</v>
      </c>
      <c r="AA261">
        <v>0</v>
      </c>
      <c r="AB261">
        <v>2</v>
      </c>
      <c r="AC261">
        <v>0</v>
      </c>
      <c r="AE261">
        <v>0</v>
      </c>
      <c r="AF261">
        <v>8</v>
      </c>
      <c r="AG261">
        <v>3</v>
      </c>
      <c r="AH261">
        <v>0</v>
      </c>
      <c r="AI261">
        <v>9</v>
      </c>
      <c r="AJ261" t="s">
        <v>125</v>
      </c>
      <c r="AK261">
        <v>0</v>
      </c>
      <c r="AL261">
        <v>3</v>
      </c>
      <c r="AM261">
        <v>2</v>
      </c>
      <c r="AN261">
        <v>1</v>
      </c>
      <c r="AO261" t="s">
        <v>657</v>
      </c>
      <c r="AP261">
        <v>42.935214000000002</v>
      </c>
      <c r="AQ261" t="s">
        <v>658</v>
      </c>
      <c r="AR261">
        <v>-77.580213999999998</v>
      </c>
      <c r="AS261">
        <v>25</v>
      </c>
      <c r="AT261">
        <v>2325</v>
      </c>
      <c r="AU261" t="s">
        <v>123</v>
      </c>
      <c r="AV261">
        <v>40</v>
      </c>
      <c r="AW261">
        <v>183</v>
      </c>
      <c r="AX261">
        <v>-64</v>
      </c>
      <c r="AZ261">
        <f t="shared" si="46"/>
        <v>1600</v>
      </c>
      <c r="BA261">
        <f t="shared" si="47"/>
        <v>33489</v>
      </c>
      <c r="BB261" s="1">
        <f t="shared" si="48"/>
        <v>187.32058082335749</v>
      </c>
      <c r="BJ261">
        <v>1404</v>
      </c>
      <c r="BK261">
        <v>1</v>
      </c>
      <c r="BL261" t="str">
        <f t="shared" si="42"/>
        <v xml:space="preserve">N600C   </v>
      </c>
      <c r="BM261">
        <v>2</v>
      </c>
      <c r="BO261">
        <v>0</v>
      </c>
      <c r="BP261">
        <v>0</v>
      </c>
      <c r="BQ261">
        <v>0</v>
      </c>
      <c r="BR261">
        <v>2500</v>
      </c>
      <c r="BS261">
        <v>175</v>
      </c>
      <c r="BT261" t="s">
        <v>128</v>
      </c>
      <c r="BU261">
        <v>0</v>
      </c>
      <c r="BV261">
        <v>0</v>
      </c>
      <c r="BW261">
        <v>0</v>
      </c>
      <c r="BX261">
        <v>1</v>
      </c>
      <c r="CA261">
        <v>0</v>
      </c>
      <c r="CB261">
        <v>0</v>
      </c>
      <c r="CC261">
        <v>0</v>
      </c>
      <c r="CM261" t="str">
        <f>"17:44:50.382"</f>
        <v>17:44:50.382</v>
      </c>
      <c r="CN261">
        <v>381811472</v>
      </c>
      <c r="CQ261">
        <v>0</v>
      </c>
      <c r="CR261">
        <v>2496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3</v>
      </c>
      <c r="DB261">
        <v>2</v>
      </c>
      <c r="DC261">
        <v>0</v>
      </c>
      <c r="DD261">
        <v>2</v>
      </c>
      <c r="DE261">
        <v>0</v>
      </c>
      <c r="DF261">
        <v>7</v>
      </c>
      <c r="DG261">
        <v>7</v>
      </c>
      <c r="DH261" t="s">
        <v>124</v>
      </c>
      <c r="DI261">
        <v>71</v>
      </c>
      <c r="DJ261">
        <v>1</v>
      </c>
      <c r="DK261" t="s">
        <v>134</v>
      </c>
      <c r="DL261" t="s">
        <v>135</v>
      </c>
      <c r="DO261">
        <v>11452612</v>
      </c>
      <c r="DQ261">
        <v>0</v>
      </c>
      <c r="DR261">
        <v>0</v>
      </c>
      <c r="DS261">
        <v>1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</row>
    <row r="262" spans="1:131" x14ac:dyDescent="0.35">
      <c r="A262" s="2" t="str">
        <f>"17:44:51.662"</f>
        <v>17:44:51.662</v>
      </c>
      <c r="B262" s="4">
        <f t="shared" si="39"/>
        <v>63891.661999999997</v>
      </c>
      <c r="C262" s="4">
        <f t="shared" si="43"/>
        <v>291.66199999999662</v>
      </c>
      <c r="D262" s="3">
        <f t="shared" si="44"/>
        <v>0.73948682870370364</v>
      </c>
      <c r="E262" s="2">
        <f t="shared" si="45"/>
        <v>0.73948682870370364</v>
      </c>
      <c r="G262" t="str">
        <f t="shared" si="40"/>
        <v>FFDFD7C0</v>
      </c>
      <c r="H262" t="s">
        <v>126</v>
      </c>
      <c r="I262">
        <v>8</v>
      </c>
      <c r="J262">
        <v>1008</v>
      </c>
      <c r="K262" t="s">
        <v>129</v>
      </c>
      <c r="N262" t="s">
        <v>127</v>
      </c>
      <c r="O262">
        <v>0</v>
      </c>
      <c r="P262">
        <v>3</v>
      </c>
      <c r="Q262">
        <v>0</v>
      </c>
      <c r="R262">
        <v>2</v>
      </c>
      <c r="S262">
        <v>1</v>
      </c>
      <c r="T262">
        <v>0</v>
      </c>
      <c r="U262">
        <v>0</v>
      </c>
      <c r="W262" t="str">
        <f>"17:44:51.320"</f>
        <v>17:44:51.320</v>
      </c>
      <c r="X262" t="str">
        <f>"17:44:51.120"</f>
        <v>17:44:51.120</v>
      </c>
      <c r="Y262" t="str">
        <f t="shared" si="41"/>
        <v>A7C771</v>
      </c>
      <c r="Z262">
        <v>0</v>
      </c>
      <c r="AA262">
        <v>0</v>
      </c>
      <c r="AB262">
        <v>2</v>
      </c>
      <c r="AC262">
        <v>0</v>
      </c>
      <c r="AE262">
        <v>0</v>
      </c>
      <c r="AF262">
        <v>8</v>
      </c>
      <c r="AG262">
        <v>3</v>
      </c>
      <c r="AH262">
        <v>0</v>
      </c>
      <c r="AI262">
        <v>9</v>
      </c>
      <c r="AJ262" t="s">
        <v>125</v>
      </c>
      <c r="AK262">
        <v>0</v>
      </c>
      <c r="AL262">
        <v>3</v>
      </c>
      <c r="AM262">
        <v>2</v>
      </c>
      <c r="AN262">
        <v>1</v>
      </c>
      <c r="AO262" t="s">
        <v>659</v>
      </c>
      <c r="AP262">
        <v>42.936028999999998</v>
      </c>
      <c r="AQ262" t="s">
        <v>660</v>
      </c>
      <c r="AR262">
        <v>-77.579955999999996</v>
      </c>
      <c r="AS262">
        <v>25</v>
      </c>
      <c r="AT262">
        <v>2325</v>
      </c>
      <c r="AU262" t="s">
        <v>123</v>
      </c>
      <c r="AV262">
        <v>40</v>
      </c>
      <c r="AW262">
        <v>182</v>
      </c>
      <c r="AX262">
        <v>-64</v>
      </c>
      <c r="AZ262">
        <f t="shared" si="46"/>
        <v>1600</v>
      </c>
      <c r="BA262">
        <f t="shared" si="47"/>
        <v>33124</v>
      </c>
      <c r="BB262" s="1">
        <f t="shared" si="48"/>
        <v>186.34376834227646</v>
      </c>
      <c r="BJ262">
        <v>1404</v>
      </c>
      <c r="BK262">
        <v>1</v>
      </c>
      <c r="BL262" t="str">
        <f t="shared" si="42"/>
        <v xml:space="preserve">N600C   </v>
      </c>
      <c r="BM262">
        <v>2</v>
      </c>
      <c r="BO262">
        <v>0</v>
      </c>
      <c r="BP262">
        <v>0</v>
      </c>
      <c r="BQ262">
        <v>0</v>
      </c>
      <c r="BR262">
        <v>2500</v>
      </c>
      <c r="BS262">
        <v>175</v>
      </c>
      <c r="BT262" t="s">
        <v>128</v>
      </c>
      <c r="BU262">
        <v>0</v>
      </c>
      <c r="BV262">
        <v>0</v>
      </c>
      <c r="BW262">
        <v>0</v>
      </c>
      <c r="BX262">
        <v>1</v>
      </c>
      <c r="CA262">
        <v>0</v>
      </c>
      <c r="CB262">
        <v>0</v>
      </c>
      <c r="CC262">
        <v>0</v>
      </c>
      <c r="CM262" t="str">
        <f>"17:44:51.326"</f>
        <v>17:44:51.326</v>
      </c>
      <c r="CN262">
        <v>325977877</v>
      </c>
      <c r="CQ262">
        <v>0</v>
      </c>
      <c r="CR262">
        <v>2496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3</v>
      </c>
      <c r="DB262">
        <v>2</v>
      </c>
      <c r="DC262">
        <v>0</v>
      </c>
      <c r="DD262">
        <v>2</v>
      </c>
      <c r="DE262">
        <v>0</v>
      </c>
      <c r="DF262">
        <v>7</v>
      </c>
      <c r="DG262">
        <v>7</v>
      </c>
      <c r="DH262" t="s">
        <v>124</v>
      </c>
      <c r="DI262">
        <v>71</v>
      </c>
      <c r="DJ262">
        <v>1</v>
      </c>
      <c r="DK262" t="s">
        <v>134</v>
      </c>
      <c r="DL262" t="s">
        <v>135</v>
      </c>
      <c r="DO262">
        <v>11453473</v>
      </c>
      <c r="DQ262">
        <v>0</v>
      </c>
      <c r="DR262">
        <v>0</v>
      </c>
      <c r="DS262">
        <v>1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</row>
    <row r="263" spans="1:131" x14ac:dyDescent="0.35">
      <c r="A263" s="2" t="str">
        <f>"17:44:52.521"</f>
        <v>17:44:52.521</v>
      </c>
      <c r="B263" s="4">
        <f t="shared" ref="B263:B326" si="49">E263*86400</f>
        <v>63892.521000000001</v>
      </c>
      <c r="C263" s="4">
        <f t="shared" si="43"/>
        <v>292.52100000000064</v>
      </c>
      <c r="D263" s="3">
        <f t="shared" si="44"/>
        <v>0.73949677083333332</v>
      </c>
      <c r="E263" s="2">
        <f t="shared" si="45"/>
        <v>0.73949677083333332</v>
      </c>
      <c r="G263" t="str">
        <f t="shared" si="40"/>
        <v>FFDFD7C0</v>
      </c>
      <c r="H263" t="s">
        <v>126</v>
      </c>
      <c r="I263">
        <v>8</v>
      </c>
      <c r="J263">
        <v>1008</v>
      </c>
      <c r="K263" t="s">
        <v>129</v>
      </c>
      <c r="N263" t="s">
        <v>127</v>
      </c>
      <c r="O263">
        <v>0</v>
      </c>
      <c r="P263">
        <v>3</v>
      </c>
      <c r="Q263">
        <v>0</v>
      </c>
      <c r="R263">
        <v>2</v>
      </c>
      <c r="S263">
        <v>1</v>
      </c>
      <c r="T263">
        <v>0</v>
      </c>
      <c r="U263">
        <v>0</v>
      </c>
      <c r="W263" t="str">
        <f>"17:44:52.281"</f>
        <v>17:44:52.281</v>
      </c>
      <c r="X263" t="str">
        <f>"17:44:52.081"</f>
        <v>17:44:52.081</v>
      </c>
      <c r="Y263" t="str">
        <f t="shared" si="41"/>
        <v>A7C771</v>
      </c>
      <c r="Z263">
        <v>0</v>
      </c>
      <c r="AA263">
        <v>0</v>
      </c>
      <c r="AB263">
        <v>2</v>
      </c>
      <c r="AC263">
        <v>0</v>
      </c>
      <c r="AE263">
        <v>0</v>
      </c>
      <c r="AF263">
        <v>8</v>
      </c>
      <c r="AG263">
        <v>3</v>
      </c>
      <c r="AH263">
        <v>0</v>
      </c>
      <c r="AI263">
        <v>9</v>
      </c>
      <c r="AJ263" t="s">
        <v>125</v>
      </c>
      <c r="AK263">
        <v>0</v>
      </c>
      <c r="AL263">
        <v>3</v>
      </c>
      <c r="AM263">
        <v>2</v>
      </c>
      <c r="AN263">
        <v>1</v>
      </c>
      <c r="AO263" t="s">
        <v>661</v>
      </c>
      <c r="AP263">
        <v>42.936802</v>
      </c>
      <c r="AQ263" t="s">
        <v>662</v>
      </c>
      <c r="AR263">
        <v>-77.579763</v>
      </c>
      <c r="AS263">
        <v>25</v>
      </c>
      <c r="AT263">
        <v>2325</v>
      </c>
      <c r="AU263" t="s">
        <v>123</v>
      </c>
      <c r="AV263">
        <v>40</v>
      </c>
      <c r="AW263">
        <v>182</v>
      </c>
      <c r="AX263">
        <v>-64</v>
      </c>
      <c r="AZ263">
        <f t="shared" si="46"/>
        <v>1600</v>
      </c>
      <c r="BA263">
        <f t="shared" si="47"/>
        <v>33124</v>
      </c>
      <c r="BB263" s="1">
        <f t="shared" si="48"/>
        <v>186.34376834227646</v>
      </c>
      <c r="BJ263">
        <v>1404</v>
      </c>
      <c r="BK263">
        <v>1</v>
      </c>
      <c r="BL263" t="str">
        <f t="shared" si="42"/>
        <v xml:space="preserve">N600C   </v>
      </c>
      <c r="BM263">
        <v>2</v>
      </c>
      <c r="BO263">
        <v>0</v>
      </c>
      <c r="BP263">
        <v>0</v>
      </c>
      <c r="BQ263">
        <v>0</v>
      </c>
      <c r="BR263">
        <v>2500</v>
      </c>
      <c r="BS263">
        <v>175</v>
      </c>
      <c r="BT263" t="s">
        <v>128</v>
      </c>
      <c r="BU263">
        <v>0</v>
      </c>
      <c r="BV263">
        <v>0</v>
      </c>
      <c r="BW263">
        <v>0</v>
      </c>
      <c r="BX263">
        <v>1</v>
      </c>
      <c r="CA263">
        <v>0</v>
      </c>
      <c r="CB263">
        <v>0</v>
      </c>
      <c r="CC263">
        <v>0</v>
      </c>
      <c r="CM263" t="str">
        <f>"17:44:52.286"</f>
        <v>17:44:52.286</v>
      </c>
      <c r="CN263">
        <v>286141327</v>
      </c>
      <c r="CQ263">
        <v>0</v>
      </c>
      <c r="CR263">
        <v>2496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3</v>
      </c>
      <c r="DB263">
        <v>2</v>
      </c>
      <c r="DC263">
        <v>0</v>
      </c>
      <c r="DD263">
        <v>2</v>
      </c>
      <c r="DE263">
        <v>0</v>
      </c>
      <c r="DF263">
        <v>7</v>
      </c>
      <c r="DG263">
        <v>7</v>
      </c>
      <c r="DH263" t="s">
        <v>124</v>
      </c>
      <c r="DI263">
        <v>71</v>
      </c>
      <c r="DJ263">
        <v>0</v>
      </c>
      <c r="DK263" t="s">
        <v>134</v>
      </c>
      <c r="DL263" t="s">
        <v>135</v>
      </c>
      <c r="DO263">
        <v>10114757</v>
      </c>
      <c r="DQ263">
        <v>0</v>
      </c>
      <c r="DR263">
        <v>0</v>
      </c>
      <c r="DS263">
        <v>1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</row>
    <row r="264" spans="1:131" x14ac:dyDescent="0.35">
      <c r="A264" s="2" t="str">
        <f>"17:44:53.475"</f>
        <v>17:44:53.475</v>
      </c>
      <c r="B264" s="4">
        <f t="shared" si="49"/>
        <v>63893.474999999999</v>
      </c>
      <c r="C264" s="4">
        <f t="shared" si="43"/>
        <v>293.47499999999854</v>
      </c>
      <c r="D264" s="3">
        <f t="shared" si="44"/>
        <v>0.73950781249999997</v>
      </c>
      <c r="E264" s="2">
        <f t="shared" si="45"/>
        <v>0.73950781249999997</v>
      </c>
      <c r="G264" t="str">
        <f t="shared" si="40"/>
        <v>FFDFD7C0</v>
      </c>
      <c r="H264" t="s">
        <v>126</v>
      </c>
      <c r="I264">
        <v>8</v>
      </c>
      <c r="J264">
        <v>1008</v>
      </c>
      <c r="K264" t="s">
        <v>129</v>
      </c>
      <c r="N264" t="s">
        <v>127</v>
      </c>
      <c r="O264">
        <v>0</v>
      </c>
      <c r="P264">
        <v>3</v>
      </c>
      <c r="Q264">
        <v>0</v>
      </c>
      <c r="R264">
        <v>2</v>
      </c>
      <c r="S264">
        <v>1</v>
      </c>
      <c r="T264">
        <v>0</v>
      </c>
      <c r="U264">
        <v>0</v>
      </c>
      <c r="W264" t="str">
        <f>"17:44:53.258"</f>
        <v>17:44:53.258</v>
      </c>
      <c r="X264" t="str">
        <f>"17:44:53.058"</f>
        <v>17:44:53.058</v>
      </c>
      <c r="Y264" t="str">
        <f t="shared" si="41"/>
        <v>A7C771</v>
      </c>
      <c r="Z264">
        <v>0</v>
      </c>
      <c r="AA264">
        <v>0</v>
      </c>
      <c r="AB264">
        <v>2</v>
      </c>
      <c r="AC264">
        <v>0</v>
      </c>
      <c r="AE264">
        <v>0</v>
      </c>
      <c r="AF264">
        <v>8</v>
      </c>
      <c r="AG264">
        <v>3</v>
      </c>
      <c r="AH264">
        <v>0</v>
      </c>
      <c r="AI264">
        <v>9</v>
      </c>
      <c r="AJ264" t="s">
        <v>125</v>
      </c>
      <c r="AK264">
        <v>0</v>
      </c>
      <c r="AL264">
        <v>3</v>
      </c>
      <c r="AM264">
        <v>2</v>
      </c>
      <c r="AN264">
        <v>1</v>
      </c>
      <c r="AO264" t="s">
        <v>663</v>
      </c>
      <c r="AP264">
        <v>42.937638999999997</v>
      </c>
      <c r="AQ264" t="s">
        <v>664</v>
      </c>
      <c r="AR264">
        <v>-77.579504999999997</v>
      </c>
      <c r="AS264">
        <v>25</v>
      </c>
      <c r="AT264">
        <v>2325</v>
      </c>
      <c r="AU264" t="s">
        <v>123</v>
      </c>
      <c r="AV264">
        <v>40</v>
      </c>
      <c r="AW264">
        <v>182</v>
      </c>
      <c r="AX264">
        <v>-64</v>
      </c>
      <c r="AZ264">
        <f t="shared" si="46"/>
        <v>1600</v>
      </c>
      <c r="BA264">
        <f t="shared" si="47"/>
        <v>33124</v>
      </c>
      <c r="BB264" s="1">
        <f t="shared" si="48"/>
        <v>186.34376834227646</v>
      </c>
      <c r="BJ264">
        <v>1404</v>
      </c>
      <c r="BK264">
        <v>1</v>
      </c>
      <c r="BL264" t="str">
        <f t="shared" si="42"/>
        <v xml:space="preserve">N600C   </v>
      </c>
      <c r="BM264">
        <v>2</v>
      </c>
      <c r="BO264">
        <v>0</v>
      </c>
      <c r="BP264">
        <v>0</v>
      </c>
      <c r="BQ264">
        <v>0</v>
      </c>
      <c r="BR264">
        <v>2500</v>
      </c>
      <c r="BS264">
        <v>175</v>
      </c>
      <c r="BT264" t="s">
        <v>128</v>
      </c>
      <c r="BU264">
        <v>0</v>
      </c>
      <c r="BV264">
        <v>0</v>
      </c>
      <c r="BW264">
        <v>0</v>
      </c>
      <c r="BX264">
        <v>1</v>
      </c>
      <c r="CA264">
        <v>0</v>
      </c>
      <c r="CB264">
        <v>0</v>
      </c>
      <c r="CC264">
        <v>0</v>
      </c>
      <c r="CM264" t="str">
        <f>"17:44:53.262"</f>
        <v>17:44:53.262</v>
      </c>
      <c r="CN264">
        <v>262318061</v>
      </c>
      <c r="CQ264">
        <v>0</v>
      </c>
      <c r="CR264">
        <v>2496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3</v>
      </c>
      <c r="DB264">
        <v>2</v>
      </c>
      <c r="DC264">
        <v>0</v>
      </c>
      <c r="DD264">
        <v>2</v>
      </c>
      <c r="DE264">
        <v>0</v>
      </c>
      <c r="DF264">
        <v>7</v>
      </c>
      <c r="DG264">
        <v>7</v>
      </c>
      <c r="DH264" t="s">
        <v>124</v>
      </c>
      <c r="DI264">
        <v>71</v>
      </c>
      <c r="DJ264">
        <v>1</v>
      </c>
      <c r="DK264" t="s">
        <v>134</v>
      </c>
      <c r="DL264" t="s">
        <v>135</v>
      </c>
      <c r="DO264">
        <v>11455072</v>
      </c>
      <c r="DQ264">
        <v>0</v>
      </c>
      <c r="DR264">
        <v>0</v>
      </c>
      <c r="DS264">
        <v>1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</row>
    <row r="265" spans="1:131" x14ac:dyDescent="0.35">
      <c r="A265" s="2" t="str">
        <f>"17:44:54.477"</f>
        <v>17:44:54.477</v>
      </c>
      <c r="B265" s="4">
        <f t="shared" si="49"/>
        <v>63894.476999999999</v>
      </c>
      <c r="C265" s="4">
        <f t="shared" si="43"/>
        <v>294.47699999999895</v>
      </c>
      <c r="D265" s="3">
        <f t="shared" si="44"/>
        <v>0.73951940972222219</v>
      </c>
      <c r="E265" s="2">
        <f t="shared" si="45"/>
        <v>0.73951940972222219</v>
      </c>
      <c r="G265" t="str">
        <f t="shared" si="40"/>
        <v>FFDFD7C0</v>
      </c>
      <c r="H265" t="s">
        <v>126</v>
      </c>
      <c r="I265">
        <v>8</v>
      </c>
      <c r="J265">
        <v>1008</v>
      </c>
      <c r="K265" t="s">
        <v>129</v>
      </c>
      <c r="N265" t="s">
        <v>127</v>
      </c>
      <c r="O265">
        <v>0</v>
      </c>
      <c r="P265">
        <v>3</v>
      </c>
      <c r="Q265">
        <v>0</v>
      </c>
      <c r="R265">
        <v>2</v>
      </c>
      <c r="S265">
        <v>1</v>
      </c>
      <c r="T265">
        <v>0</v>
      </c>
      <c r="U265">
        <v>0</v>
      </c>
      <c r="W265" t="str">
        <f>"17:44:54.250"</f>
        <v>17:44:54.250</v>
      </c>
      <c r="X265" t="str">
        <f>"17:44:54.150"</f>
        <v>17:44:54.150</v>
      </c>
      <c r="Y265" t="str">
        <f t="shared" si="41"/>
        <v>A7C771</v>
      </c>
      <c r="Z265">
        <v>0</v>
      </c>
      <c r="AA265">
        <v>0</v>
      </c>
      <c r="AB265">
        <v>2</v>
      </c>
      <c r="AC265">
        <v>0</v>
      </c>
      <c r="AE265">
        <v>0</v>
      </c>
      <c r="AF265">
        <v>8</v>
      </c>
      <c r="AG265">
        <v>3</v>
      </c>
      <c r="AH265">
        <v>0</v>
      </c>
      <c r="AI265">
        <v>9</v>
      </c>
      <c r="AJ265" t="s">
        <v>125</v>
      </c>
      <c r="AK265">
        <v>0</v>
      </c>
      <c r="AL265">
        <v>3</v>
      </c>
      <c r="AM265">
        <v>2</v>
      </c>
      <c r="AN265">
        <v>1</v>
      </c>
      <c r="AO265" t="s">
        <v>665</v>
      </c>
      <c r="AP265">
        <v>42.938476000000001</v>
      </c>
      <c r="AQ265" t="s">
        <v>666</v>
      </c>
      <c r="AR265">
        <v>-77.579226000000006</v>
      </c>
      <c r="AS265">
        <v>25</v>
      </c>
      <c r="AT265">
        <v>2325</v>
      </c>
      <c r="AU265" t="s">
        <v>123</v>
      </c>
      <c r="AV265">
        <v>40</v>
      </c>
      <c r="AW265">
        <v>182</v>
      </c>
      <c r="AX265">
        <v>-64</v>
      </c>
      <c r="AZ265">
        <f t="shared" si="46"/>
        <v>1600</v>
      </c>
      <c r="BA265">
        <f t="shared" si="47"/>
        <v>33124</v>
      </c>
      <c r="BB265" s="1">
        <f t="shared" si="48"/>
        <v>186.34376834227646</v>
      </c>
      <c r="BJ265">
        <v>1404</v>
      </c>
      <c r="BK265">
        <v>1</v>
      </c>
      <c r="BL265" t="str">
        <f t="shared" si="42"/>
        <v xml:space="preserve">N600C   </v>
      </c>
      <c r="BM265">
        <v>2</v>
      </c>
      <c r="BO265">
        <v>0</v>
      </c>
      <c r="BP265">
        <v>0</v>
      </c>
      <c r="BQ265">
        <v>0</v>
      </c>
      <c r="BR265">
        <v>2500</v>
      </c>
      <c r="BS265">
        <v>175</v>
      </c>
      <c r="BT265" t="s">
        <v>128</v>
      </c>
      <c r="BU265">
        <v>0</v>
      </c>
      <c r="BV265">
        <v>0</v>
      </c>
      <c r="BW265">
        <v>0</v>
      </c>
      <c r="BX265">
        <v>1</v>
      </c>
      <c r="CA265">
        <v>0</v>
      </c>
      <c r="CB265">
        <v>0</v>
      </c>
      <c r="CC265">
        <v>0</v>
      </c>
      <c r="CM265" t="str">
        <f>"17:44:54.255"</f>
        <v>17:44:54.255</v>
      </c>
      <c r="CN265">
        <v>254507804</v>
      </c>
      <c r="CQ265">
        <v>0</v>
      </c>
      <c r="CR265">
        <v>2496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3</v>
      </c>
      <c r="DB265">
        <v>2</v>
      </c>
      <c r="DC265">
        <v>0</v>
      </c>
      <c r="DD265">
        <v>2</v>
      </c>
      <c r="DE265">
        <v>0</v>
      </c>
      <c r="DF265">
        <v>7</v>
      </c>
      <c r="DG265">
        <v>7</v>
      </c>
      <c r="DH265" t="s">
        <v>124</v>
      </c>
      <c r="DI265">
        <v>71</v>
      </c>
      <c r="DJ265">
        <v>1</v>
      </c>
      <c r="DK265" t="s">
        <v>134</v>
      </c>
      <c r="DL265" t="s">
        <v>135</v>
      </c>
      <c r="DO265">
        <v>11455970</v>
      </c>
      <c r="DQ265">
        <v>0</v>
      </c>
      <c r="DR265">
        <v>0</v>
      </c>
      <c r="DS265">
        <v>1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</row>
    <row r="266" spans="1:131" x14ac:dyDescent="0.35">
      <c r="A266" s="2" t="str">
        <f>"17:44:55.678"</f>
        <v>17:44:55.678</v>
      </c>
      <c r="B266" s="4">
        <f t="shared" si="49"/>
        <v>63895.678</v>
      </c>
      <c r="C266" s="4">
        <f t="shared" si="43"/>
        <v>295.67799999999988</v>
      </c>
      <c r="D266" s="3">
        <f t="shared" si="44"/>
        <v>0.7395333101851852</v>
      </c>
      <c r="E266" s="2">
        <f t="shared" si="45"/>
        <v>0.7395333101851852</v>
      </c>
      <c r="G266" t="str">
        <f t="shared" si="40"/>
        <v>FFDFD7C0</v>
      </c>
      <c r="H266" t="s">
        <v>126</v>
      </c>
      <c r="I266">
        <v>8</v>
      </c>
      <c r="J266">
        <v>1008</v>
      </c>
      <c r="K266" t="s">
        <v>129</v>
      </c>
      <c r="N266" t="s">
        <v>127</v>
      </c>
      <c r="O266">
        <v>0</v>
      </c>
      <c r="P266">
        <v>3</v>
      </c>
      <c r="Q266">
        <v>0</v>
      </c>
      <c r="R266">
        <v>2</v>
      </c>
      <c r="S266">
        <v>1</v>
      </c>
      <c r="T266">
        <v>0</v>
      </c>
      <c r="U266">
        <v>0</v>
      </c>
      <c r="W266" t="str">
        <f>"17:44:55.414"</f>
        <v>17:44:55.414</v>
      </c>
      <c r="X266" t="str">
        <f>"17:44:55.214"</f>
        <v>17:44:55.214</v>
      </c>
      <c r="Y266" t="str">
        <f t="shared" si="41"/>
        <v>A7C771</v>
      </c>
      <c r="Z266">
        <v>0</v>
      </c>
      <c r="AA266">
        <v>0</v>
      </c>
      <c r="AB266">
        <v>2</v>
      </c>
      <c r="AC266">
        <v>0</v>
      </c>
      <c r="AE266">
        <v>0</v>
      </c>
      <c r="AF266">
        <v>8</v>
      </c>
      <c r="AG266">
        <v>3</v>
      </c>
      <c r="AH266">
        <v>0</v>
      </c>
      <c r="AI266">
        <v>9</v>
      </c>
      <c r="AJ266" t="s">
        <v>125</v>
      </c>
      <c r="AK266">
        <v>0</v>
      </c>
      <c r="AL266">
        <v>3</v>
      </c>
      <c r="AM266">
        <v>2</v>
      </c>
      <c r="AN266">
        <v>1</v>
      </c>
      <c r="AO266" t="s">
        <v>667</v>
      </c>
      <c r="AP266">
        <v>42.939506000000002</v>
      </c>
      <c r="AQ266" t="s">
        <v>668</v>
      </c>
      <c r="AR266">
        <v>-77.578905000000006</v>
      </c>
      <c r="AS266">
        <v>25</v>
      </c>
      <c r="AT266">
        <v>2325</v>
      </c>
      <c r="AU266" t="s">
        <v>123</v>
      </c>
      <c r="AV266">
        <v>41</v>
      </c>
      <c r="AW266">
        <v>181</v>
      </c>
      <c r="AX266">
        <v>0</v>
      </c>
      <c r="AZ266">
        <f t="shared" si="46"/>
        <v>1681</v>
      </c>
      <c r="BA266">
        <f t="shared" si="47"/>
        <v>32761</v>
      </c>
      <c r="BB266" s="1">
        <f t="shared" si="48"/>
        <v>185.58555978308226</v>
      </c>
      <c r="BJ266">
        <v>1404</v>
      </c>
      <c r="BK266">
        <v>1</v>
      </c>
      <c r="BL266" t="str">
        <f t="shared" si="42"/>
        <v xml:space="preserve">N600C   </v>
      </c>
      <c r="BM266">
        <v>2</v>
      </c>
      <c r="BO266">
        <v>0</v>
      </c>
      <c r="BP266">
        <v>0</v>
      </c>
      <c r="BQ266">
        <v>0</v>
      </c>
      <c r="BR266">
        <v>2500</v>
      </c>
      <c r="BS266">
        <v>175</v>
      </c>
      <c r="BT266" t="s">
        <v>128</v>
      </c>
      <c r="BU266">
        <v>0</v>
      </c>
      <c r="BV266">
        <v>0</v>
      </c>
      <c r="BW266">
        <v>0</v>
      </c>
      <c r="BX266">
        <v>1</v>
      </c>
      <c r="CA266">
        <v>0</v>
      </c>
      <c r="CB266">
        <v>0</v>
      </c>
      <c r="CC266">
        <v>0</v>
      </c>
      <c r="CM266" t="str">
        <f>"17:44:55.415"</f>
        <v>17:44:55.415</v>
      </c>
      <c r="CN266">
        <v>414707547</v>
      </c>
      <c r="CQ266">
        <v>0</v>
      </c>
      <c r="CR266">
        <v>2496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3</v>
      </c>
      <c r="DB266">
        <v>2</v>
      </c>
      <c r="DC266">
        <v>0</v>
      </c>
      <c r="DD266">
        <v>2</v>
      </c>
      <c r="DE266">
        <v>0</v>
      </c>
      <c r="DF266">
        <v>7</v>
      </c>
      <c r="DG266">
        <v>7</v>
      </c>
      <c r="DH266" t="s">
        <v>124</v>
      </c>
      <c r="DI266">
        <v>71</v>
      </c>
      <c r="DJ266">
        <v>1</v>
      </c>
      <c r="DK266" t="s">
        <v>134</v>
      </c>
      <c r="DL266" t="s">
        <v>135</v>
      </c>
      <c r="DO266">
        <v>11456922</v>
      </c>
      <c r="DQ266">
        <v>0</v>
      </c>
      <c r="DR266">
        <v>0</v>
      </c>
      <c r="DS266">
        <v>1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</row>
    <row r="267" spans="1:131" x14ac:dyDescent="0.35">
      <c r="A267" s="2" t="str">
        <f>"17:44:56.772"</f>
        <v>17:44:56.772</v>
      </c>
      <c r="B267" s="4">
        <f t="shared" si="49"/>
        <v>63896.771999999997</v>
      </c>
      <c r="C267" s="4">
        <f t="shared" si="43"/>
        <v>296.77199999999721</v>
      </c>
      <c r="D267" s="3">
        <f t="shared" si="44"/>
        <v>0.73954597222222218</v>
      </c>
      <c r="E267" s="2">
        <f t="shared" si="45"/>
        <v>0.73954597222222218</v>
      </c>
      <c r="G267" t="str">
        <f t="shared" si="40"/>
        <v>FFDFD7C0</v>
      </c>
      <c r="H267" t="s">
        <v>126</v>
      </c>
      <c r="I267">
        <v>8</v>
      </c>
      <c r="J267">
        <v>1008</v>
      </c>
      <c r="K267" t="s">
        <v>129</v>
      </c>
      <c r="N267" t="s">
        <v>127</v>
      </c>
      <c r="O267">
        <v>0</v>
      </c>
      <c r="P267">
        <v>3</v>
      </c>
      <c r="Q267">
        <v>0</v>
      </c>
      <c r="R267">
        <v>2</v>
      </c>
      <c r="S267">
        <v>1</v>
      </c>
      <c r="T267">
        <v>0</v>
      </c>
      <c r="U267">
        <v>0</v>
      </c>
      <c r="W267" t="str">
        <f>"17:44:56.531"</f>
        <v>17:44:56.531</v>
      </c>
      <c r="X267" t="str">
        <f>"17:44:56.331"</f>
        <v>17:44:56.331</v>
      </c>
      <c r="Y267" t="str">
        <f t="shared" si="41"/>
        <v>A7C771</v>
      </c>
      <c r="Z267">
        <v>0</v>
      </c>
      <c r="AA267">
        <v>0</v>
      </c>
      <c r="AB267">
        <v>2</v>
      </c>
      <c r="AC267">
        <v>0</v>
      </c>
      <c r="AE267">
        <v>0</v>
      </c>
      <c r="AF267">
        <v>8</v>
      </c>
      <c r="AG267">
        <v>3</v>
      </c>
      <c r="AH267">
        <v>0</v>
      </c>
      <c r="AI267">
        <v>9</v>
      </c>
      <c r="AJ267" t="s">
        <v>125</v>
      </c>
      <c r="AK267">
        <v>0</v>
      </c>
      <c r="AL267">
        <v>3</v>
      </c>
      <c r="AM267">
        <v>2</v>
      </c>
      <c r="AN267">
        <v>1</v>
      </c>
      <c r="AO267" t="s">
        <v>669</v>
      </c>
      <c r="AP267">
        <v>42.940427999999997</v>
      </c>
      <c r="AQ267" t="s">
        <v>670</v>
      </c>
      <c r="AR267">
        <v>-77.578603999999999</v>
      </c>
      <c r="AS267">
        <v>25</v>
      </c>
      <c r="AT267">
        <v>2325</v>
      </c>
      <c r="AU267" t="s">
        <v>123</v>
      </c>
      <c r="AV267">
        <v>41</v>
      </c>
      <c r="AW267">
        <v>181</v>
      </c>
      <c r="AX267">
        <v>64</v>
      </c>
      <c r="AZ267">
        <f t="shared" si="46"/>
        <v>1681</v>
      </c>
      <c r="BA267">
        <f t="shared" si="47"/>
        <v>32761</v>
      </c>
      <c r="BB267" s="1">
        <f t="shared" si="48"/>
        <v>185.58555978308226</v>
      </c>
      <c r="BJ267">
        <v>1404</v>
      </c>
      <c r="BK267">
        <v>1</v>
      </c>
      <c r="BL267" t="str">
        <f t="shared" si="42"/>
        <v xml:space="preserve">N600C   </v>
      </c>
      <c r="BM267">
        <v>2</v>
      </c>
      <c r="BO267">
        <v>0</v>
      </c>
      <c r="BP267">
        <v>0</v>
      </c>
      <c r="BQ267">
        <v>0</v>
      </c>
      <c r="BR267">
        <v>2500</v>
      </c>
      <c r="BS267">
        <v>175</v>
      </c>
      <c r="BT267" t="s">
        <v>128</v>
      </c>
      <c r="BU267">
        <v>0</v>
      </c>
      <c r="BV267">
        <v>0</v>
      </c>
      <c r="BW267">
        <v>0</v>
      </c>
      <c r="BX267">
        <v>1</v>
      </c>
      <c r="CA267">
        <v>0</v>
      </c>
      <c r="CB267">
        <v>0</v>
      </c>
      <c r="CC267">
        <v>0</v>
      </c>
      <c r="CM267" t="str">
        <f>"17:44:56.535"</f>
        <v>17:44:56.535</v>
      </c>
      <c r="CN267">
        <v>534910441</v>
      </c>
      <c r="CQ267">
        <v>0</v>
      </c>
      <c r="CR267">
        <v>2496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3</v>
      </c>
      <c r="DB267">
        <v>2</v>
      </c>
      <c r="DC267">
        <v>0</v>
      </c>
      <c r="DD267">
        <v>2</v>
      </c>
      <c r="DE267">
        <v>0</v>
      </c>
      <c r="DF267">
        <v>7</v>
      </c>
      <c r="DG267">
        <v>7</v>
      </c>
      <c r="DH267" t="s">
        <v>124</v>
      </c>
      <c r="DI267">
        <v>71</v>
      </c>
      <c r="DJ267">
        <v>1</v>
      </c>
      <c r="DK267" t="s">
        <v>134</v>
      </c>
      <c r="DL267" t="s">
        <v>135</v>
      </c>
      <c r="DO267">
        <v>11457947</v>
      </c>
      <c r="DQ267">
        <v>0</v>
      </c>
      <c r="DR267">
        <v>0</v>
      </c>
      <c r="DS267">
        <v>1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</row>
    <row r="268" spans="1:131" x14ac:dyDescent="0.35">
      <c r="A268" s="2" t="str">
        <f>"17:44:57.756"</f>
        <v>17:44:57.756</v>
      </c>
      <c r="B268" s="4">
        <f t="shared" si="49"/>
        <v>63897.756000000001</v>
      </c>
      <c r="C268" s="4">
        <f t="shared" si="43"/>
        <v>297.75600000000122</v>
      </c>
      <c r="D268" s="3">
        <f t="shared" si="44"/>
        <v>0.73955736111111114</v>
      </c>
      <c r="E268" s="2">
        <f t="shared" si="45"/>
        <v>0.73955736111111114</v>
      </c>
      <c r="G268" t="str">
        <f t="shared" si="40"/>
        <v>FFDFD7C0</v>
      </c>
      <c r="H268" t="s">
        <v>126</v>
      </c>
      <c r="I268">
        <v>8</v>
      </c>
      <c r="J268">
        <v>1008</v>
      </c>
      <c r="K268" t="s">
        <v>129</v>
      </c>
      <c r="N268" t="s">
        <v>127</v>
      </c>
      <c r="O268">
        <v>0</v>
      </c>
      <c r="P268">
        <v>3</v>
      </c>
      <c r="Q268">
        <v>0</v>
      </c>
      <c r="R268">
        <v>2</v>
      </c>
      <c r="S268">
        <v>1</v>
      </c>
      <c r="T268">
        <v>0</v>
      </c>
      <c r="U268">
        <v>0</v>
      </c>
      <c r="W268" t="str">
        <f>"17:44:57.500"</f>
        <v>17:44:57.500</v>
      </c>
      <c r="X268" t="str">
        <f>"17:44:57.400"</f>
        <v>17:44:57.400</v>
      </c>
      <c r="Y268" t="str">
        <f t="shared" si="41"/>
        <v>A7C771</v>
      </c>
      <c r="Z268">
        <v>0</v>
      </c>
      <c r="AA268">
        <v>0</v>
      </c>
      <c r="AB268">
        <v>2</v>
      </c>
      <c r="AC268">
        <v>0</v>
      </c>
      <c r="AE268">
        <v>0</v>
      </c>
      <c r="AF268">
        <v>8</v>
      </c>
      <c r="AG268">
        <v>3</v>
      </c>
      <c r="AH268">
        <v>0</v>
      </c>
      <c r="AI268">
        <v>9</v>
      </c>
      <c r="AJ268" t="s">
        <v>125</v>
      </c>
      <c r="AK268">
        <v>0</v>
      </c>
      <c r="AL268">
        <v>3</v>
      </c>
      <c r="AM268">
        <v>2</v>
      </c>
      <c r="AN268">
        <v>1</v>
      </c>
      <c r="AO268" t="s">
        <v>671</v>
      </c>
      <c r="AP268">
        <v>42.941243999999998</v>
      </c>
      <c r="AQ268" t="s">
        <v>672</v>
      </c>
      <c r="AR268">
        <v>-77.578367999999998</v>
      </c>
      <c r="AS268">
        <v>25</v>
      </c>
      <c r="AT268">
        <v>2325</v>
      </c>
      <c r="AU268" t="s">
        <v>123</v>
      </c>
      <c r="AV268">
        <v>41</v>
      </c>
      <c r="AW268">
        <v>181</v>
      </c>
      <c r="AX268">
        <v>0</v>
      </c>
      <c r="AZ268">
        <f t="shared" si="46"/>
        <v>1681</v>
      </c>
      <c r="BA268">
        <f t="shared" si="47"/>
        <v>32761</v>
      </c>
      <c r="BB268" s="1">
        <f t="shared" si="48"/>
        <v>185.58555978308226</v>
      </c>
      <c r="BJ268">
        <v>1404</v>
      </c>
      <c r="BK268">
        <v>1</v>
      </c>
      <c r="BL268" t="str">
        <f t="shared" si="42"/>
        <v xml:space="preserve">N600C   </v>
      </c>
      <c r="BM268">
        <v>2</v>
      </c>
      <c r="BO268">
        <v>0</v>
      </c>
      <c r="BP268">
        <v>0</v>
      </c>
      <c r="BQ268">
        <v>0</v>
      </c>
      <c r="BR268">
        <v>2500</v>
      </c>
      <c r="BS268">
        <v>175</v>
      </c>
      <c r="BT268" t="s">
        <v>128</v>
      </c>
      <c r="BU268">
        <v>0</v>
      </c>
      <c r="BV268">
        <v>0</v>
      </c>
      <c r="BW268">
        <v>0</v>
      </c>
      <c r="BX268">
        <v>1</v>
      </c>
      <c r="CA268">
        <v>0</v>
      </c>
      <c r="CB268">
        <v>0</v>
      </c>
      <c r="CC268">
        <v>0</v>
      </c>
      <c r="CM268" t="str">
        <f>"17:44:57.503"</f>
        <v>17:44:57.503</v>
      </c>
      <c r="CN268">
        <v>503090424</v>
      </c>
      <c r="CQ268">
        <v>0</v>
      </c>
      <c r="CR268">
        <v>2496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3</v>
      </c>
      <c r="DB268">
        <v>2</v>
      </c>
      <c r="DC268">
        <v>0</v>
      </c>
      <c r="DD268">
        <v>2</v>
      </c>
      <c r="DE268">
        <v>0</v>
      </c>
      <c r="DF268">
        <v>7</v>
      </c>
      <c r="DG268">
        <v>7</v>
      </c>
      <c r="DH268" t="s">
        <v>124</v>
      </c>
      <c r="DI268">
        <v>71</v>
      </c>
      <c r="DJ268">
        <v>0</v>
      </c>
      <c r="DK268" t="s">
        <v>134</v>
      </c>
      <c r="DL268" t="s">
        <v>135</v>
      </c>
      <c r="DO268">
        <v>10118467</v>
      </c>
      <c r="DQ268">
        <v>0</v>
      </c>
      <c r="DR268">
        <v>0</v>
      </c>
      <c r="DS268">
        <v>1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</row>
    <row r="269" spans="1:131" x14ac:dyDescent="0.35">
      <c r="A269" s="2" t="str">
        <f>"17:44:58.804"</f>
        <v>17:44:58.804</v>
      </c>
      <c r="B269" s="4">
        <f t="shared" si="49"/>
        <v>63898.804000000004</v>
      </c>
      <c r="C269" s="4">
        <f t="shared" si="43"/>
        <v>298.80400000000373</v>
      </c>
      <c r="D269" s="3">
        <f t="shared" si="44"/>
        <v>0.73956949074074074</v>
      </c>
      <c r="E269" s="2">
        <f t="shared" si="45"/>
        <v>0.73956949074074074</v>
      </c>
      <c r="G269" t="str">
        <f t="shared" si="40"/>
        <v>FFDFD7C0</v>
      </c>
      <c r="H269" t="s">
        <v>126</v>
      </c>
      <c r="I269">
        <v>8</v>
      </c>
      <c r="J269">
        <v>1008</v>
      </c>
      <c r="K269" t="s">
        <v>129</v>
      </c>
      <c r="N269" t="s">
        <v>127</v>
      </c>
      <c r="O269">
        <v>0</v>
      </c>
      <c r="P269">
        <v>3</v>
      </c>
      <c r="Q269">
        <v>0</v>
      </c>
      <c r="R269">
        <v>2</v>
      </c>
      <c r="S269">
        <v>1</v>
      </c>
      <c r="T269">
        <v>0</v>
      </c>
      <c r="U269">
        <v>0</v>
      </c>
      <c r="W269" t="str">
        <f>"17:44:58.500"</f>
        <v>17:44:58.500</v>
      </c>
      <c r="X269" t="str">
        <f>"17:44:58.400"</f>
        <v>17:44:58.400</v>
      </c>
      <c r="Y269" t="str">
        <f t="shared" si="41"/>
        <v>A7C771</v>
      </c>
      <c r="Z269">
        <v>0</v>
      </c>
      <c r="AA269">
        <v>0</v>
      </c>
      <c r="AB269">
        <v>2</v>
      </c>
      <c r="AC269">
        <v>0</v>
      </c>
      <c r="AE269">
        <v>0</v>
      </c>
      <c r="AF269">
        <v>8</v>
      </c>
      <c r="AG269">
        <v>3</v>
      </c>
      <c r="AH269">
        <v>0</v>
      </c>
      <c r="AI269">
        <v>9</v>
      </c>
      <c r="AJ269" t="s">
        <v>125</v>
      </c>
      <c r="AK269">
        <v>0</v>
      </c>
      <c r="AL269">
        <v>3</v>
      </c>
      <c r="AM269">
        <v>2</v>
      </c>
      <c r="AN269">
        <v>1</v>
      </c>
      <c r="AO269" t="s">
        <v>673</v>
      </c>
      <c r="AP269">
        <v>42.942079999999997</v>
      </c>
      <c r="AQ269" t="s">
        <v>674</v>
      </c>
      <c r="AR269">
        <v>-77.578111000000007</v>
      </c>
      <c r="AS269">
        <v>25</v>
      </c>
      <c r="AT269">
        <v>2325</v>
      </c>
      <c r="AU269" t="s">
        <v>123</v>
      </c>
      <c r="AV269">
        <v>42</v>
      </c>
      <c r="AW269">
        <v>180</v>
      </c>
      <c r="AX269">
        <v>64</v>
      </c>
      <c r="AZ269">
        <f t="shared" si="46"/>
        <v>1764</v>
      </c>
      <c r="BA269">
        <f t="shared" si="47"/>
        <v>32400</v>
      </c>
      <c r="BB269" s="1">
        <f t="shared" si="48"/>
        <v>184.83506160899236</v>
      </c>
      <c r="BJ269">
        <v>1404</v>
      </c>
      <c r="BK269">
        <v>1</v>
      </c>
      <c r="BL269" t="str">
        <f t="shared" si="42"/>
        <v xml:space="preserve">N600C   </v>
      </c>
      <c r="BM269">
        <v>2</v>
      </c>
      <c r="BO269">
        <v>0</v>
      </c>
      <c r="BP269">
        <v>0</v>
      </c>
      <c r="BQ269">
        <v>0</v>
      </c>
      <c r="BR269">
        <v>2500</v>
      </c>
      <c r="BS269">
        <v>175</v>
      </c>
      <c r="BT269" t="s">
        <v>128</v>
      </c>
      <c r="BU269">
        <v>0</v>
      </c>
      <c r="BV269">
        <v>0</v>
      </c>
      <c r="BW269">
        <v>0</v>
      </c>
      <c r="BX269">
        <v>1</v>
      </c>
      <c r="CA269">
        <v>0</v>
      </c>
      <c r="CB269">
        <v>0</v>
      </c>
      <c r="CC269">
        <v>0</v>
      </c>
      <c r="CM269" t="str">
        <f>"17:44:58.503"</f>
        <v>17:44:58.503</v>
      </c>
      <c r="CN269">
        <v>503276546</v>
      </c>
      <c r="CQ269">
        <v>0</v>
      </c>
      <c r="CR269">
        <v>2496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3</v>
      </c>
      <c r="DB269">
        <v>2</v>
      </c>
      <c r="DC269">
        <v>0</v>
      </c>
      <c r="DD269">
        <v>2</v>
      </c>
      <c r="DE269">
        <v>0</v>
      </c>
      <c r="DF269">
        <v>7</v>
      </c>
      <c r="DG269">
        <v>7</v>
      </c>
      <c r="DH269" t="s">
        <v>124</v>
      </c>
      <c r="DI269">
        <v>71</v>
      </c>
      <c r="DJ269">
        <v>0</v>
      </c>
      <c r="DK269" t="s">
        <v>134</v>
      </c>
      <c r="DL269" t="s">
        <v>135</v>
      </c>
      <c r="DO269">
        <v>10119185</v>
      </c>
      <c r="DQ269">
        <v>0</v>
      </c>
      <c r="DR269">
        <v>0</v>
      </c>
      <c r="DS269">
        <v>1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</row>
    <row r="270" spans="1:131" x14ac:dyDescent="0.35">
      <c r="A270" s="2" t="str">
        <f>"17:44:59.818"</f>
        <v>17:44:59.818</v>
      </c>
      <c r="B270" s="4">
        <f t="shared" si="49"/>
        <v>63899.817999999992</v>
      </c>
      <c r="C270" s="4">
        <f t="shared" si="43"/>
        <v>299.81799999999203</v>
      </c>
      <c r="D270" s="3">
        <f t="shared" si="44"/>
        <v>0.73958122685185179</v>
      </c>
      <c r="E270" s="2">
        <f t="shared" si="45"/>
        <v>0.73958122685185179</v>
      </c>
      <c r="G270" t="str">
        <f t="shared" si="40"/>
        <v>FFDFD7C0</v>
      </c>
      <c r="H270" t="s">
        <v>126</v>
      </c>
      <c r="I270">
        <v>8</v>
      </c>
      <c r="J270">
        <v>1008</v>
      </c>
      <c r="K270" t="s">
        <v>129</v>
      </c>
      <c r="N270" t="s">
        <v>127</v>
      </c>
      <c r="O270">
        <v>0</v>
      </c>
      <c r="P270">
        <v>3</v>
      </c>
      <c r="Q270">
        <v>0</v>
      </c>
      <c r="R270">
        <v>2</v>
      </c>
      <c r="S270">
        <v>1</v>
      </c>
      <c r="T270">
        <v>0</v>
      </c>
      <c r="U270">
        <v>0</v>
      </c>
      <c r="W270" t="str">
        <f>"17:44:59.531"</f>
        <v>17:44:59.531</v>
      </c>
      <c r="X270" t="str">
        <f>"17:44:59.331"</f>
        <v>17:44:59.331</v>
      </c>
      <c r="Y270" t="str">
        <f t="shared" si="41"/>
        <v>A7C771</v>
      </c>
      <c r="Z270">
        <v>0</v>
      </c>
      <c r="AA270">
        <v>0</v>
      </c>
      <c r="AB270">
        <v>2</v>
      </c>
      <c r="AC270">
        <v>0</v>
      </c>
      <c r="AE270">
        <v>0</v>
      </c>
      <c r="AF270">
        <v>8</v>
      </c>
      <c r="AG270">
        <v>3</v>
      </c>
      <c r="AH270">
        <v>0</v>
      </c>
      <c r="AI270">
        <v>9</v>
      </c>
      <c r="AJ270" t="s">
        <v>125</v>
      </c>
      <c r="AK270">
        <v>0</v>
      </c>
      <c r="AL270">
        <v>3</v>
      </c>
      <c r="AM270">
        <v>2</v>
      </c>
      <c r="AN270">
        <v>1</v>
      </c>
      <c r="AO270" t="s">
        <v>675</v>
      </c>
      <c r="AP270">
        <v>42.942895999999998</v>
      </c>
      <c r="AQ270" t="s">
        <v>676</v>
      </c>
      <c r="AR270">
        <v>-77.577788999999996</v>
      </c>
      <c r="AS270">
        <v>25</v>
      </c>
      <c r="AT270">
        <v>2325</v>
      </c>
      <c r="AU270" t="s">
        <v>123</v>
      </c>
      <c r="AV270">
        <v>43</v>
      </c>
      <c r="AW270">
        <v>180</v>
      </c>
      <c r="AX270">
        <v>128</v>
      </c>
      <c r="AZ270">
        <f t="shared" si="46"/>
        <v>1849</v>
      </c>
      <c r="BA270">
        <f t="shared" si="47"/>
        <v>32400</v>
      </c>
      <c r="BB270" s="1">
        <f t="shared" si="48"/>
        <v>185.06485349736184</v>
      </c>
      <c r="BJ270">
        <v>1404</v>
      </c>
      <c r="BK270">
        <v>1</v>
      </c>
      <c r="BL270" t="str">
        <f t="shared" si="42"/>
        <v xml:space="preserve">N600C   </v>
      </c>
      <c r="BM270">
        <v>2</v>
      </c>
      <c r="BO270">
        <v>0</v>
      </c>
      <c r="BP270">
        <v>0</v>
      </c>
      <c r="BQ270">
        <v>0</v>
      </c>
      <c r="BR270">
        <v>2500</v>
      </c>
      <c r="BS270">
        <v>175</v>
      </c>
      <c r="BT270" t="s">
        <v>128</v>
      </c>
      <c r="BU270">
        <v>0</v>
      </c>
      <c r="BV270">
        <v>0</v>
      </c>
      <c r="BW270">
        <v>0</v>
      </c>
      <c r="BX270">
        <v>1</v>
      </c>
      <c r="CA270">
        <v>0</v>
      </c>
      <c r="CB270">
        <v>0</v>
      </c>
      <c r="CC270">
        <v>0</v>
      </c>
      <c r="CM270" t="str">
        <f>"17:44:59.535"</f>
        <v>17:44:59.535</v>
      </c>
      <c r="CN270">
        <v>535474689</v>
      </c>
      <c r="CQ270">
        <v>0</v>
      </c>
      <c r="CR270">
        <v>2496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3</v>
      </c>
      <c r="DB270">
        <v>2</v>
      </c>
      <c r="DC270">
        <v>0</v>
      </c>
      <c r="DD270">
        <v>2</v>
      </c>
      <c r="DE270">
        <v>0</v>
      </c>
      <c r="DF270">
        <v>7</v>
      </c>
      <c r="DG270">
        <v>7</v>
      </c>
      <c r="DH270" t="s">
        <v>124</v>
      </c>
      <c r="DI270">
        <v>71</v>
      </c>
      <c r="DJ270">
        <v>1</v>
      </c>
      <c r="DK270" t="s">
        <v>134</v>
      </c>
      <c r="DL270" t="s">
        <v>135</v>
      </c>
      <c r="DO270">
        <v>11460538</v>
      </c>
      <c r="DQ270">
        <v>0</v>
      </c>
      <c r="DR270">
        <v>0</v>
      </c>
      <c r="DS270">
        <v>1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</row>
    <row r="271" spans="1:131" x14ac:dyDescent="0.35">
      <c r="A271" s="2" t="str">
        <f>"17:45:00.796"</f>
        <v>17:45:00.796</v>
      </c>
      <c r="B271" s="4">
        <f t="shared" si="49"/>
        <v>63900.796000000002</v>
      </c>
      <c r="C271" s="4">
        <f t="shared" si="43"/>
        <v>300.7960000000021</v>
      </c>
      <c r="D271" s="3">
        <f t="shared" si="44"/>
        <v>0.73959254629629634</v>
      </c>
      <c r="E271" s="2">
        <f t="shared" si="45"/>
        <v>0.73959254629629634</v>
      </c>
      <c r="G271" t="str">
        <f t="shared" si="40"/>
        <v>FFDFD7C0</v>
      </c>
      <c r="H271" t="s">
        <v>126</v>
      </c>
      <c r="I271">
        <v>8</v>
      </c>
      <c r="J271">
        <v>1008</v>
      </c>
      <c r="K271" t="s">
        <v>129</v>
      </c>
      <c r="N271" t="s">
        <v>127</v>
      </c>
      <c r="O271">
        <v>0</v>
      </c>
      <c r="P271">
        <v>3</v>
      </c>
      <c r="Q271">
        <v>0</v>
      </c>
      <c r="R271">
        <v>2</v>
      </c>
      <c r="S271">
        <v>1</v>
      </c>
      <c r="T271">
        <v>0</v>
      </c>
      <c r="U271">
        <v>0</v>
      </c>
      <c r="W271" t="str">
        <f>"17:45:00.555"</f>
        <v>17:45:00.555</v>
      </c>
      <c r="X271" t="str">
        <f>"17:45:00.255"</f>
        <v>17:45:00.255</v>
      </c>
      <c r="Y271" t="str">
        <f t="shared" si="41"/>
        <v>A7C771</v>
      </c>
      <c r="Z271">
        <v>0</v>
      </c>
      <c r="AA271">
        <v>0</v>
      </c>
      <c r="AB271">
        <v>2</v>
      </c>
      <c r="AC271">
        <v>0</v>
      </c>
      <c r="AE271">
        <v>0</v>
      </c>
      <c r="AF271">
        <v>8</v>
      </c>
      <c r="AG271">
        <v>3</v>
      </c>
      <c r="AH271">
        <v>0</v>
      </c>
      <c r="AI271">
        <v>9</v>
      </c>
      <c r="AJ271" t="s">
        <v>125</v>
      </c>
      <c r="AK271">
        <v>0</v>
      </c>
      <c r="AL271">
        <v>3</v>
      </c>
      <c r="AM271">
        <v>2</v>
      </c>
      <c r="AN271">
        <v>1</v>
      </c>
      <c r="AO271" t="s">
        <v>677</v>
      </c>
      <c r="AP271">
        <v>42.943733000000002</v>
      </c>
      <c r="AQ271" t="s">
        <v>678</v>
      </c>
      <c r="AR271">
        <v>-77.577530999999993</v>
      </c>
      <c r="AS271">
        <v>25</v>
      </c>
      <c r="AT271">
        <v>2325</v>
      </c>
      <c r="AU271" t="s">
        <v>123</v>
      </c>
      <c r="AV271">
        <v>43</v>
      </c>
      <c r="AW271">
        <v>180</v>
      </c>
      <c r="AX271">
        <v>128</v>
      </c>
      <c r="AZ271">
        <f t="shared" si="46"/>
        <v>1849</v>
      </c>
      <c r="BA271">
        <f t="shared" si="47"/>
        <v>32400</v>
      </c>
      <c r="BB271" s="1">
        <f t="shared" si="48"/>
        <v>185.06485349736184</v>
      </c>
      <c r="BJ271">
        <v>1404</v>
      </c>
      <c r="BK271">
        <v>1</v>
      </c>
      <c r="BL271" t="str">
        <f t="shared" si="42"/>
        <v xml:space="preserve">N600C   </v>
      </c>
      <c r="BM271">
        <v>2</v>
      </c>
      <c r="BO271">
        <v>0</v>
      </c>
      <c r="BP271">
        <v>0</v>
      </c>
      <c r="BQ271">
        <v>0</v>
      </c>
      <c r="BR271">
        <v>2500</v>
      </c>
      <c r="BS271">
        <v>175</v>
      </c>
      <c r="BT271" t="s">
        <v>128</v>
      </c>
      <c r="BU271">
        <v>0</v>
      </c>
      <c r="BV271">
        <v>0</v>
      </c>
      <c r="BW271">
        <v>0</v>
      </c>
      <c r="BX271">
        <v>1</v>
      </c>
      <c r="CA271">
        <v>0</v>
      </c>
      <c r="CB271">
        <v>0</v>
      </c>
      <c r="CC271">
        <v>0</v>
      </c>
      <c r="CM271" t="str">
        <f>"17:45:00.560"</f>
        <v>17:45:00.560</v>
      </c>
      <c r="CN271">
        <v>559663373</v>
      </c>
      <c r="CQ271">
        <v>0</v>
      </c>
      <c r="CR271">
        <v>2496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3</v>
      </c>
      <c r="DB271">
        <v>2</v>
      </c>
      <c r="DC271">
        <v>0</v>
      </c>
      <c r="DD271">
        <v>2</v>
      </c>
      <c r="DE271">
        <v>0</v>
      </c>
      <c r="DF271">
        <v>7</v>
      </c>
      <c r="DG271">
        <v>7</v>
      </c>
      <c r="DH271" t="s">
        <v>124</v>
      </c>
      <c r="DI271">
        <v>71</v>
      </c>
      <c r="DJ271">
        <v>1</v>
      </c>
      <c r="DK271" t="s">
        <v>134</v>
      </c>
      <c r="DL271" t="s">
        <v>135</v>
      </c>
      <c r="DO271">
        <v>11461415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</row>
    <row r="272" spans="1:131" x14ac:dyDescent="0.35">
      <c r="A272" s="2" t="str">
        <f>"17:45:01.700"</f>
        <v>17:45:01.700</v>
      </c>
      <c r="B272" s="4">
        <f t="shared" si="49"/>
        <v>63901.7</v>
      </c>
      <c r="C272" s="4">
        <f t="shared" si="43"/>
        <v>301.69999999999709</v>
      </c>
      <c r="D272" s="3">
        <f t="shared" si="44"/>
        <v>0.73960300925925926</v>
      </c>
      <c r="E272" s="2">
        <f t="shared" si="45"/>
        <v>0.73960300925925926</v>
      </c>
      <c r="G272" t="str">
        <f t="shared" si="40"/>
        <v>FFDFD7C0</v>
      </c>
      <c r="H272" t="s">
        <v>126</v>
      </c>
      <c r="I272">
        <v>8</v>
      </c>
      <c r="J272">
        <v>1008</v>
      </c>
      <c r="K272" t="s">
        <v>129</v>
      </c>
      <c r="N272" t="s">
        <v>127</v>
      </c>
      <c r="O272">
        <v>0</v>
      </c>
      <c r="P272">
        <v>3</v>
      </c>
      <c r="Q272">
        <v>0</v>
      </c>
      <c r="R272">
        <v>2</v>
      </c>
      <c r="S272">
        <v>1</v>
      </c>
      <c r="T272">
        <v>0</v>
      </c>
      <c r="U272">
        <v>0</v>
      </c>
      <c r="W272" t="str">
        <f>"17:45:01.461"</f>
        <v>17:45:01.461</v>
      </c>
      <c r="X272" t="str">
        <f>"17:45:01.261"</f>
        <v>17:45:01.261</v>
      </c>
      <c r="Y272" t="str">
        <f t="shared" si="41"/>
        <v>A7C771</v>
      </c>
      <c r="Z272">
        <v>0</v>
      </c>
      <c r="AA272">
        <v>0</v>
      </c>
      <c r="AB272">
        <v>2</v>
      </c>
      <c r="AC272">
        <v>0</v>
      </c>
      <c r="AE272">
        <v>0</v>
      </c>
      <c r="AF272">
        <v>8</v>
      </c>
      <c r="AG272">
        <v>3</v>
      </c>
      <c r="AH272">
        <v>0</v>
      </c>
      <c r="AI272">
        <v>9</v>
      </c>
      <c r="AJ272" t="s">
        <v>125</v>
      </c>
      <c r="AK272">
        <v>0</v>
      </c>
      <c r="AL272">
        <v>3</v>
      </c>
      <c r="AM272">
        <v>2</v>
      </c>
      <c r="AN272">
        <v>1</v>
      </c>
      <c r="AO272" t="s">
        <v>679</v>
      </c>
      <c r="AP272">
        <v>42.944484000000003</v>
      </c>
      <c r="AQ272" t="s">
        <v>680</v>
      </c>
      <c r="AR272">
        <v>-77.577274000000003</v>
      </c>
      <c r="AS272">
        <v>25</v>
      </c>
      <c r="AT272">
        <v>2350</v>
      </c>
      <c r="AU272" t="s">
        <v>123</v>
      </c>
      <c r="AV272">
        <v>42</v>
      </c>
      <c r="AW272">
        <v>180</v>
      </c>
      <c r="AX272">
        <v>192</v>
      </c>
      <c r="AZ272">
        <f t="shared" si="46"/>
        <v>1764</v>
      </c>
      <c r="BA272">
        <f t="shared" si="47"/>
        <v>32400</v>
      </c>
      <c r="BB272" s="1">
        <f t="shared" si="48"/>
        <v>184.83506160899236</v>
      </c>
      <c r="BJ272">
        <v>1404</v>
      </c>
      <c r="BK272">
        <v>1</v>
      </c>
      <c r="BL272" t="str">
        <f t="shared" si="42"/>
        <v xml:space="preserve">N600C   </v>
      </c>
      <c r="BM272">
        <v>2</v>
      </c>
      <c r="BO272">
        <v>0</v>
      </c>
      <c r="BP272">
        <v>0</v>
      </c>
      <c r="BQ272">
        <v>0</v>
      </c>
      <c r="BR272">
        <v>2525</v>
      </c>
      <c r="BS272">
        <v>175</v>
      </c>
      <c r="BT272" t="s">
        <v>128</v>
      </c>
      <c r="BU272">
        <v>0</v>
      </c>
      <c r="BV272">
        <v>0</v>
      </c>
      <c r="BW272">
        <v>0</v>
      </c>
      <c r="BX272">
        <v>1</v>
      </c>
      <c r="CA272">
        <v>0</v>
      </c>
      <c r="CB272">
        <v>0</v>
      </c>
      <c r="CC272">
        <v>0</v>
      </c>
      <c r="CM272" t="str">
        <f>"17:45:01.464"</f>
        <v>17:45:01.464</v>
      </c>
      <c r="CN272">
        <v>463823741</v>
      </c>
      <c r="CQ272">
        <v>0</v>
      </c>
      <c r="CR272">
        <v>2496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3</v>
      </c>
      <c r="DB272">
        <v>2</v>
      </c>
      <c r="DC272">
        <v>0</v>
      </c>
      <c r="DD272">
        <v>2</v>
      </c>
      <c r="DE272">
        <v>0</v>
      </c>
      <c r="DF272">
        <v>7</v>
      </c>
      <c r="DG272">
        <v>7</v>
      </c>
      <c r="DH272" t="s">
        <v>124</v>
      </c>
      <c r="DI272">
        <v>71</v>
      </c>
      <c r="DJ272">
        <v>0</v>
      </c>
      <c r="DK272" t="s">
        <v>134</v>
      </c>
      <c r="DL272" t="s">
        <v>135</v>
      </c>
      <c r="DO272">
        <v>10121407</v>
      </c>
      <c r="DQ272">
        <v>0</v>
      </c>
      <c r="DR272">
        <v>0</v>
      </c>
      <c r="DS272">
        <v>1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</row>
    <row r="273" spans="1:131" x14ac:dyDescent="0.35">
      <c r="A273" s="2" t="str">
        <f>"17:45:02.731"</f>
        <v>17:45:02.731</v>
      </c>
      <c r="B273" s="4">
        <f t="shared" si="49"/>
        <v>63902.731</v>
      </c>
      <c r="C273" s="4">
        <f t="shared" si="43"/>
        <v>302.73099999999977</v>
      </c>
      <c r="D273" s="3">
        <f t="shared" si="44"/>
        <v>0.73961494212962964</v>
      </c>
      <c r="E273" s="2">
        <f t="shared" si="45"/>
        <v>0.73961494212962964</v>
      </c>
      <c r="G273" t="str">
        <f t="shared" si="40"/>
        <v>FFDFD7C0</v>
      </c>
      <c r="H273" t="s">
        <v>126</v>
      </c>
      <c r="I273">
        <v>8</v>
      </c>
      <c r="J273">
        <v>1008</v>
      </c>
      <c r="K273" t="s">
        <v>129</v>
      </c>
      <c r="N273" t="s">
        <v>127</v>
      </c>
      <c r="O273">
        <v>0</v>
      </c>
      <c r="P273">
        <v>3</v>
      </c>
      <c r="Q273">
        <v>0</v>
      </c>
      <c r="R273">
        <v>2</v>
      </c>
      <c r="S273">
        <v>1</v>
      </c>
      <c r="T273">
        <v>0</v>
      </c>
      <c r="U273">
        <v>0</v>
      </c>
      <c r="W273" t="str">
        <f>"17:45:02.508"</f>
        <v>17:45:02.508</v>
      </c>
      <c r="X273" t="str">
        <f>"17:45:02.108"</f>
        <v>17:45:02.108</v>
      </c>
      <c r="Y273" t="str">
        <f t="shared" si="41"/>
        <v>A7C771</v>
      </c>
      <c r="Z273">
        <v>0</v>
      </c>
      <c r="AA273">
        <v>0</v>
      </c>
      <c r="AB273">
        <v>2</v>
      </c>
      <c r="AC273">
        <v>0</v>
      </c>
      <c r="AE273">
        <v>0</v>
      </c>
      <c r="AF273">
        <v>8</v>
      </c>
      <c r="AG273">
        <v>3</v>
      </c>
      <c r="AH273">
        <v>0</v>
      </c>
      <c r="AI273">
        <v>9</v>
      </c>
      <c r="AJ273" t="s">
        <v>125</v>
      </c>
      <c r="AK273">
        <v>0</v>
      </c>
      <c r="AL273">
        <v>3</v>
      </c>
      <c r="AM273">
        <v>2</v>
      </c>
      <c r="AN273">
        <v>1</v>
      </c>
      <c r="AO273" t="s">
        <v>681</v>
      </c>
      <c r="AP273">
        <v>42.945428</v>
      </c>
      <c r="AQ273" t="s">
        <v>682</v>
      </c>
      <c r="AR273">
        <v>-77.577016</v>
      </c>
      <c r="AS273">
        <v>25</v>
      </c>
      <c r="AT273">
        <v>2350</v>
      </c>
      <c r="AU273" t="s">
        <v>123</v>
      </c>
      <c r="AV273">
        <v>42</v>
      </c>
      <c r="AW273">
        <v>179</v>
      </c>
      <c r="AX273">
        <v>128</v>
      </c>
      <c r="AZ273">
        <f t="shared" si="46"/>
        <v>1764</v>
      </c>
      <c r="BA273">
        <f t="shared" si="47"/>
        <v>32041</v>
      </c>
      <c r="BB273" s="1">
        <f t="shared" si="48"/>
        <v>183.86136081297778</v>
      </c>
      <c r="BJ273">
        <v>1404</v>
      </c>
      <c r="BK273">
        <v>1</v>
      </c>
      <c r="BL273" t="str">
        <f t="shared" si="42"/>
        <v xml:space="preserve">N600C   </v>
      </c>
      <c r="BM273">
        <v>2</v>
      </c>
      <c r="BO273">
        <v>0</v>
      </c>
      <c r="BP273">
        <v>0</v>
      </c>
      <c r="BQ273">
        <v>0</v>
      </c>
      <c r="BR273">
        <v>2525</v>
      </c>
      <c r="BS273">
        <v>175</v>
      </c>
      <c r="BT273" t="s">
        <v>128</v>
      </c>
      <c r="BU273">
        <v>0</v>
      </c>
      <c r="BV273">
        <v>0</v>
      </c>
      <c r="BW273">
        <v>0</v>
      </c>
      <c r="BX273">
        <v>1</v>
      </c>
      <c r="CA273">
        <v>0</v>
      </c>
      <c r="CB273">
        <v>0</v>
      </c>
      <c r="CC273">
        <v>0</v>
      </c>
      <c r="CM273" t="str">
        <f>"17:45:02.512"</f>
        <v>17:45:02.512</v>
      </c>
      <c r="CN273">
        <v>512016276</v>
      </c>
      <c r="CQ273">
        <v>0</v>
      </c>
      <c r="CR273">
        <v>2496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3</v>
      </c>
      <c r="DB273">
        <v>2</v>
      </c>
      <c r="DC273">
        <v>0</v>
      </c>
      <c r="DD273">
        <v>2</v>
      </c>
      <c r="DE273">
        <v>0</v>
      </c>
      <c r="DF273">
        <v>7</v>
      </c>
      <c r="DG273">
        <v>7</v>
      </c>
      <c r="DH273" t="s">
        <v>124</v>
      </c>
      <c r="DI273">
        <v>71</v>
      </c>
      <c r="DJ273">
        <v>1</v>
      </c>
      <c r="DK273" t="s">
        <v>134</v>
      </c>
      <c r="DL273" t="s">
        <v>135</v>
      </c>
      <c r="DO273">
        <v>11463086</v>
      </c>
      <c r="DQ273">
        <v>0</v>
      </c>
      <c r="DR273">
        <v>0</v>
      </c>
      <c r="DS273">
        <v>1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</row>
    <row r="274" spans="1:131" x14ac:dyDescent="0.35">
      <c r="A274" s="2" t="str">
        <f>"17:45:03.670"</f>
        <v>17:45:03.670</v>
      </c>
      <c r="B274" s="4">
        <f t="shared" si="49"/>
        <v>63903.67</v>
      </c>
      <c r="C274" s="4">
        <f t="shared" si="43"/>
        <v>303.66999999999825</v>
      </c>
      <c r="D274" s="3">
        <f t="shared" si="44"/>
        <v>0.73962581018518514</v>
      </c>
      <c r="E274" s="2">
        <f t="shared" si="45"/>
        <v>0.73962581018518514</v>
      </c>
      <c r="G274" t="str">
        <f t="shared" si="40"/>
        <v>FFDFD7C0</v>
      </c>
      <c r="H274" t="s">
        <v>126</v>
      </c>
      <c r="I274">
        <v>8</v>
      </c>
      <c r="J274">
        <v>1008</v>
      </c>
      <c r="K274" t="s">
        <v>129</v>
      </c>
      <c r="N274" t="s">
        <v>127</v>
      </c>
      <c r="O274">
        <v>0</v>
      </c>
      <c r="P274">
        <v>3</v>
      </c>
      <c r="Q274">
        <v>0</v>
      </c>
      <c r="R274">
        <v>2</v>
      </c>
      <c r="S274">
        <v>1</v>
      </c>
      <c r="T274">
        <v>0</v>
      </c>
      <c r="U274">
        <v>0</v>
      </c>
      <c r="W274" t="str">
        <f>"17:45:03.375"</f>
        <v>17:45:03.375</v>
      </c>
      <c r="X274" t="str">
        <f>"17:45:03.275"</f>
        <v>17:45:03.275</v>
      </c>
      <c r="Y274" t="str">
        <f t="shared" si="41"/>
        <v>A7C771</v>
      </c>
      <c r="Z274">
        <v>0</v>
      </c>
      <c r="AA274">
        <v>0</v>
      </c>
      <c r="AB274">
        <v>2</v>
      </c>
      <c r="AC274">
        <v>0</v>
      </c>
      <c r="AE274">
        <v>0</v>
      </c>
      <c r="AF274">
        <v>8</v>
      </c>
      <c r="AG274">
        <v>3</v>
      </c>
      <c r="AH274">
        <v>0</v>
      </c>
      <c r="AI274">
        <v>9</v>
      </c>
      <c r="AJ274" t="s">
        <v>125</v>
      </c>
      <c r="AK274">
        <v>0</v>
      </c>
      <c r="AL274">
        <v>3</v>
      </c>
      <c r="AM274">
        <v>2</v>
      </c>
      <c r="AN274">
        <v>1</v>
      </c>
      <c r="AO274" t="s">
        <v>683</v>
      </c>
      <c r="AP274">
        <v>42.94605</v>
      </c>
      <c r="AQ274" t="s">
        <v>684</v>
      </c>
      <c r="AR274">
        <v>-77.576823000000005</v>
      </c>
      <c r="AS274">
        <v>25</v>
      </c>
      <c r="AT274">
        <v>2350</v>
      </c>
      <c r="AU274" t="s">
        <v>123</v>
      </c>
      <c r="AV274">
        <v>42</v>
      </c>
      <c r="AW274">
        <v>179</v>
      </c>
      <c r="AX274">
        <v>128</v>
      </c>
      <c r="AZ274">
        <f t="shared" si="46"/>
        <v>1764</v>
      </c>
      <c r="BA274">
        <f t="shared" si="47"/>
        <v>32041</v>
      </c>
      <c r="BB274" s="1">
        <f t="shared" si="48"/>
        <v>183.86136081297778</v>
      </c>
      <c r="BJ274">
        <v>1404</v>
      </c>
      <c r="BK274">
        <v>1</v>
      </c>
      <c r="BL274" t="str">
        <f t="shared" si="42"/>
        <v xml:space="preserve">N600C   </v>
      </c>
      <c r="BM274">
        <v>2</v>
      </c>
      <c r="BO274">
        <v>0</v>
      </c>
      <c r="BP274">
        <v>0</v>
      </c>
      <c r="BQ274">
        <v>0</v>
      </c>
      <c r="BR274">
        <v>2525</v>
      </c>
      <c r="BS274">
        <v>175</v>
      </c>
      <c r="BT274" t="s">
        <v>128</v>
      </c>
      <c r="BU274">
        <v>0</v>
      </c>
      <c r="BV274">
        <v>0</v>
      </c>
      <c r="BW274">
        <v>0</v>
      </c>
      <c r="BX274">
        <v>1</v>
      </c>
      <c r="CA274">
        <v>0</v>
      </c>
      <c r="CB274">
        <v>0</v>
      </c>
      <c r="CC274">
        <v>0</v>
      </c>
      <c r="CM274" t="str">
        <f>"17:45:03.376"</f>
        <v>17:45:03.376</v>
      </c>
      <c r="CN274">
        <v>376168489</v>
      </c>
      <c r="CQ274">
        <v>0</v>
      </c>
      <c r="CR274">
        <v>2496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3</v>
      </c>
      <c r="DB274">
        <v>2</v>
      </c>
      <c r="DC274">
        <v>0</v>
      </c>
      <c r="DD274">
        <v>2</v>
      </c>
      <c r="DE274">
        <v>0</v>
      </c>
      <c r="DF274">
        <v>7</v>
      </c>
      <c r="DG274">
        <v>7</v>
      </c>
      <c r="DH274" t="s">
        <v>124</v>
      </c>
      <c r="DI274">
        <v>71</v>
      </c>
      <c r="DJ274">
        <v>0</v>
      </c>
      <c r="DK274" t="s">
        <v>134</v>
      </c>
      <c r="DL274" t="s">
        <v>135</v>
      </c>
      <c r="DO274">
        <v>10122704</v>
      </c>
      <c r="DQ274">
        <v>0</v>
      </c>
      <c r="DR274">
        <v>0</v>
      </c>
      <c r="DS274">
        <v>1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</row>
    <row r="275" spans="1:131" x14ac:dyDescent="0.35">
      <c r="A275" s="2" t="str">
        <f>"17:45:04.802"</f>
        <v>17:45:04.802</v>
      </c>
      <c r="B275" s="4">
        <f t="shared" si="49"/>
        <v>63904.801999999996</v>
      </c>
      <c r="C275" s="4">
        <f t="shared" si="43"/>
        <v>304.80199999999604</v>
      </c>
      <c r="D275" s="3">
        <f t="shared" si="44"/>
        <v>0.73963891203703702</v>
      </c>
      <c r="E275" s="2">
        <f t="shared" si="45"/>
        <v>0.73963891203703702</v>
      </c>
      <c r="G275" t="str">
        <f t="shared" si="40"/>
        <v>FFDFD7C0</v>
      </c>
      <c r="H275" t="s">
        <v>126</v>
      </c>
      <c r="I275">
        <v>8</v>
      </c>
      <c r="J275">
        <v>1008</v>
      </c>
      <c r="K275" t="s">
        <v>129</v>
      </c>
      <c r="N275" t="s">
        <v>127</v>
      </c>
      <c r="O275">
        <v>0</v>
      </c>
      <c r="P275">
        <v>3</v>
      </c>
      <c r="Q275">
        <v>0</v>
      </c>
      <c r="R275">
        <v>2</v>
      </c>
      <c r="S275">
        <v>1</v>
      </c>
      <c r="T275">
        <v>0</v>
      </c>
      <c r="U275">
        <v>0</v>
      </c>
      <c r="W275" t="str">
        <f>"17:45:04.461"</f>
        <v>17:45:04.461</v>
      </c>
      <c r="X275" t="str">
        <f>"17:45:04.261"</f>
        <v>17:45:04.261</v>
      </c>
      <c r="Y275" t="str">
        <f t="shared" si="41"/>
        <v>A7C771</v>
      </c>
      <c r="Z275">
        <v>0</v>
      </c>
      <c r="AA275">
        <v>0</v>
      </c>
      <c r="AB275">
        <v>2</v>
      </c>
      <c r="AC275">
        <v>0</v>
      </c>
      <c r="AE275">
        <v>0</v>
      </c>
      <c r="AF275">
        <v>8</v>
      </c>
      <c r="AG275">
        <v>3</v>
      </c>
      <c r="AH275">
        <v>0</v>
      </c>
      <c r="AI275">
        <v>9</v>
      </c>
      <c r="AJ275" t="s">
        <v>125</v>
      </c>
      <c r="AK275">
        <v>0</v>
      </c>
      <c r="AL275">
        <v>3</v>
      </c>
      <c r="AM275">
        <v>2</v>
      </c>
      <c r="AN275">
        <v>1</v>
      </c>
      <c r="AO275" t="s">
        <v>685</v>
      </c>
      <c r="AP275">
        <v>42.946950999999999</v>
      </c>
      <c r="AQ275" t="s">
        <v>686</v>
      </c>
      <c r="AR275">
        <v>-77.576480000000004</v>
      </c>
      <c r="AS275">
        <v>25</v>
      </c>
      <c r="AT275">
        <v>2350</v>
      </c>
      <c r="AU275" t="s">
        <v>123</v>
      </c>
      <c r="AV275">
        <v>42</v>
      </c>
      <c r="AW275">
        <v>179</v>
      </c>
      <c r="AX275">
        <v>192</v>
      </c>
      <c r="AZ275">
        <f t="shared" si="46"/>
        <v>1764</v>
      </c>
      <c r="BA275">
        <f t="shared" si="47"/>
        <v>32041</v>
      </c>
      <c r="BB275" s="1">
        <f t="shared" si="48"/>
        <v>183.86136081297778</v>
      </c>
      <c r="BJ275">
        <v>1404</v>
      </c>
      <c r="BK275">
        <v>1</v>
      </c>
      <c r="BL275" t="str">
        <f t="shared" si="42"/>
        <v xml:space="preserve">N600C   </v>
      </c>
      <c r="BM275">
        <v>2</v>
      </c>
      <c r="BO275">
        <v>0</v>
      </c>
      <c r="BP275">
        <v>0</v>
      </c>
      <c r="BQ275">
        <v>0</v>
      </c>
      <c r="BR275">
        <v>2525</v>
      </c>
      <c r="BS275">
        <v>175</v>
      </c>
      <c r="BT275" t="s">
        <v>128</v>
      </c>
      <c r="BU275">
        <v>0</v>
      </c>
      <c r="BV275">
        <v>0</v>
      </c>
      <c r="BW275">
        <v>0</v>
      </c>
      <c r="BX275">
        <v>1</v>
      </c>
      <c r="CA275">
        <v>0</v>
      </c>
      <c r="CB275">
        <v>0</v>
      </c>
      <c r="CC275">
        <v>0</v>
      </c>
      <c r="CM275" t="str">
        <f>"17:45:04.464"</f>
        <v>17:45:04.464</v>
      </c>
      <c r="CN275">
        <v>464375385</v>
      </c>
      <c r="CQ275">
        <v>0</v>
      </c>
      <c r="CR275">
        <v>2496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3</v>
      </c>
      <c r="DB275">
        <v>2</v>
      </c>
      <c r="DC275">
        <v>0</v>
      </c>
      <c r="DD275">
        <v>2</v>
      </c>
      <c r="DE275">
        <v>0</v>
      </c>
      <c r="DF275">
        <v>7</v>
      </c>
      <c r="DG275">
        <v>7</v>
      </c>
      <c r="DH275" t="s">
        <v>124</v>
      </c>
      <c r="DI275">
        <v>71</v>
      </c>
      <c r="DJ275">
        <v>1</v>
      </c>
      <c r="DK275" t="s">
        <v>134</v>
      </c>
      <c r="DL275" t="s">
        <v>135</v>
      </c>
      <c r="DO275">
        <v>11464795</v>
      </c>
      <c r="DQ275">
        <v>0</v>
      </c>
      <c r="DR275">
        <v>0</v>
      </c>
      <c r="DS275">
        <v>1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</row>
    <row r="276" spans="1:131" x14ac:dyDescent="0.35">
      <c r="A276" s="2" t="str">
        <f>"17:45:05.637"</f>
        <v>17:45:05.637</v>
      </c>
      <c r="B276" s="4">
        <f t="shared" si="49"/>
        <v>63905.637000000002</v>
      </c>
      <c r="C276" s="4">
        <f t="shared" si="43"/>
        <v>305.63700000000244</v>
      </c>
      <c r="D276" s="3">
        <f t="shared" si="44"/>
        <v>0.73964857638888892</v>
      </c>
      <c r="E276" s="2">
        <f t="shared" si="45"/>
        <v>0.73964857638888892</v>
      </c>
      <c r="G276" t="str">
        <f t="shared" si="40"/>
        <v>FFDFD7C0</v>
      </c>
      <c r="H276" t="s">
        <v>126</v>
      </c>
      <c r="I276">
        <v>8</v>
      </c>
      <c r="J276">
        <v>1008</v>
      </c>
      <c r="K276" t="s">
        <v>129</v>
      </c>
      <c r="N276" t="s">
        <v>127</v>
      </c>
      <c r="O276">
        <v>0</v>
      </c>
      <c r="P276">
        <v>3</v>
      </c>
      <c r="Q276">
        <v>0</v>
      </c>
      <c r="R276">
        <v>2</v>
      </c>
      <c r="S276">
        <v>1</v>
      </c>
      <c r="T276">
        <v>0</v>
      </c>
      <c r="U276">
        <v>0</v>
      </c>
      <c r="W276" t="str">
        <f>"17:45:05.383"</f>
        <v>17:45:05.383</v>
      </c>
      <c r="X276" t="str">
        <f>"17:45:05.283"</f>
        <v>17:45:05.283</v>
      </c>
      <c r="Y276" t="str">
        <f t="shared" si="41"/>
        <v>A7C771</v>
      </c>
      <c r="Z276">
        <v>0</v>
      </c>
      <c r="AA276">
        <v>0</v>
      </c>
      <c r="AB276">
        <v>2</v>
      </c>
      <c r="AC276">
        <v>0</v>
      </c>
      <c r="AE276">
        <v>0</v>
      </c>
      <c r="AF276">
        <v>8</v>
      </c>
      <c r="AG276">
        <v>3</v>
      </c>
      <c r="AH276">
        <v>0</v>
      </c>
      <c r="AI276">
        <v>9</v>
      </c>
      <c r="AJ276" t="s">
        <v>125</v>
      </c>
      <c r="AK276">
        <v>0</v>
      </c>
      <c r="AL276">
        <v>3</v>
      </c>
      <c r="AM276">
        <v>2</v>
      </c>
      <c r="AN276">
        <v>1</v>
      </c>
      <c r="AO276" t="s">
        <v>687</v>
      </c>
      <c r="AP276">
        <v>42.947702</v>
      </c>
      <c r="AQ276" t="s">
        <v>688</v>
      </c>
      <c r="AR276">
        <v>-77.576244000000003</v>
      </c>
      <c r="AS276">
        <v>25</v>
      </c>
      <c r="AT276">
        <v>2350</v>
      </c>
      <c r="AU276" t="s">
        <v>123</v>
      </c>
      <c r="AV276">
        <v>42</v>
      </c>
      <c r="AW276">
        <v>178</v>
      </c>
      <c r="AX276">
        <v>128</v>
      </c>
      <c r="AZ276">
        <f t="shared" si="46"/>
        <v>1764</v>
      </c>
      <c r="BA276">
        <f t="shared" si="47"/>
        <v>31684</v>
      </c>
      <c r="BB276" s="1">
        <f t="shared" si="48"/>
        <v>182.8879438344693</v>
      </c>
      <c r="BJ276">
        <v>1404</v>
      </c>
      <c r="BK276">
        <v>1</v>
      </c>
      <c r="BL276" t="str">
        <f t="shared" si="42"/>
        <v xml:space="preserve">N600C   </v>
      </c>
      <c r="BM276">
        <v>2</v>
      </c>
      <c r="BO276">
        <v>0</v>
      </c>
      <c r="BP276">
        <v>0</v>
      </c>
      <c r="BQ276">
        <v>0</v>
      </c>
      <c r="BR276">
        <v>2525</v>
      </c>
      <c r="BS276">
        <v>175</v>
      </c>
      <c r="BT276" t="s">
        <v>128</v>
      </c>
      <c r="BU276">
        <v>0</v>
      </c>
      <c r="BV276">
        <v>0</v>
      </c>
      <c r="BW276">
        <v>0</v>
      </c>
      <c r="BX276">
        <v>1</v>
      </c>
      <c r="CA276">
        <v>0</v>
      </c>
      <c r="CB276">
        <v>0</v>
      </c>
      <c r="CC276">
        <v>0</v>
      </c>
      <c r="CM276" t="str">
        <f>"17:45:05.385"</f>
        <v>17:45:05.385</v>
      </c>
      <c r="CN276">
        <v>384551444</v>
      </c>
      <c r="CQ276">
        <v>0</v>
      </c>
      <c r="CR276">
        <v>2496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3</v>
      </c>
      <c r="DB276">
        <v>2</v>
      </c>
      <c r="DC276">
        <v>0</v>
      </c>
      <c r="DD276">
        <v>2</v>
      </c>
      <c r="DE276">
        <v>0</v>
      </c>
      <c r="DF276">
        <v>7</v>
      </c>
      <c r="DG276">
        <v>7</v>
      </c>
      <c r="DH276" t="s">
        <v>124</v>
      </c>
      <c r="DI276">
        <v>71</v>
      </c>
      <c r="DJ276">
        <v>0</v>
      </c>
      <c r="DK276" t="s">
        <v>134</v>
      </c>
      <c r="DL276" t="s">
        <v>135</v>
      </c>
      <c r="DO276">
        <v>10124217</v>
      </c>
      <c r="DQ276">
        <v>0</v>
      </c>
      <c r="DR276">
        <v>0</v>
      </c>
      <c r="DS276">
        <v>1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</row>
    <row r="277" spans="1:131" x14ac:dyDescent="0.35">
      <c r="A277" s="2" t="str">
        <f>"17:45:06.705"</f>
        <v>17:45:06.705</v>
      </c>
      <c r="B277" s="4">
        <f t="shared" si="49"/>
        <v>63906.705000000002</v>
      </c>
      <c r="C277" s="4">
        <f t="shared" si="43"/>
        <v>306.70500000000175</v>
      </c>
      <c r="D277" s="3">
        <f t="shared" si="44"/>
        <v>0.73966093750000006</v>
      </c>
      <c r="E277" s="2">
        <f t="shared" si="45"/>
        <v>0.73966093750000006</v>
      </c>
      <c r="G277" t="str">
        <f t="shared" si="40"/>
        <v>FFDFD7C0</v>
      </c>
      <c r="H277" t="s">
        <v>126</v>
      </c>
      <c r="I277">
        <v>8</v>
      </c>
      <c r="J277">
        <v>1008</v>
      </c>
      <c r="K277" t="s">
        <v>129</v>
      </c>
      <c r="N277" t="s">
        <v>127</v>
      </c>
      <c r="O277">
        <v>0</v>
      </c>
      <c r="P277">
        <v>3</v>
      </c>
      <c r="Q277">
        <v>0</v>
      </c>
      <c r="R277">
        <v>2</v>
      </c>
      <c r="S277">
        <v>1</v>
      </c>
      <c r="T277">
        <v>0</v>
      </c>
      <c r="U277">
        <v>0</v>
      </c>
      <c r="W277" t="str">
        <f>"17:45:06.516"</f>
        <v>17:45:06.516</v>
      </c>
      <c r="X277" t="str">
        <f>"17:45:06.316"</f>
        <v>17:45:06.316</v>
      </c>
      <c r="Y277" t="str">
        <f t="shared" si="41"/>
        <v>A7C771</v>
      </c>
      <c r="Z277">
        <v>0</v>
      </c>
      <c r="AA277">
        <v>0</v>
      </c>
      <c r="AB277">
        <v>2</v>
      </c>
      <c r="AC277">
        <v>0</v>
      </c>
      <c r="AE277">
        <v>0</v>
      </c>
      <c r="AF277">
        <v>8</v>
      </c>
      <c r="AG277">
        <v>3</v>
      </c>
      <c r="AH277">
        <v>0</v>
      </c>
      <c r="AI277">
        <v>9</v>
      </c>
      <c r="AJ277" t="s">
        <v>125</v>
      </c>
      <c r="AK277">
        <v>0</v>
      </c>
      <c r="AL277">
        <v>3</v>
      </c>
      <c r="AM277">
        <v>2</v>
      </c>
      <c r="AN277">
        <v>1</v>
      </c>
      <c r="AO277" t="s">
        <v>689</v>
      </c>
      <c r="AP277">
        <v>42.948711000000003</v>
      </c>
      <c r="AQ277" t="s">
        <v>690</v>
      </c>
      <c r="AR277">
        <v>-77.575986</v>
      </c>
      <c r="AS277">
        <v>25</v>
      </c>
      <c r="AT277">
        <v>2350</v>
      </c>
      <c r="AU277" t="s">
        <v>123</v>
      </c>
      <c r="AV277">
        <v>41</v>
      </c>
      <c r="AW277">
        <v>178</v>
      </c>
      <c r="AX277">
        <v>64</v>
      </c>
      <c r="AZ277">
        <f t="shared" si="46"/>
        <v>1681</v>
      </c>
      <c r="BA277">
        <f t="shared" si="47"/>
        <v>31684</v>
      </c>
      <c r="BB277" s="1">
        <f t="shared" si="48"/>
        <v>182.6608879864543</v>
      </c>
      <c r="BJ277">
        <v>1404</v>
      </c>
      <c r="BK277">
        <v>1</v>
      </c>
      <c r="BL277" t="str">
        <f t="shared" si="42"/>
        <v xml:space="preserve">N600C   </v>
      </c>
      <c r="BM277">
        <v>2</v>
      </c>
      <c r="BO277">
        <v>0</v>
      </c>
      <c r="BP277">
        <v>0</v>
      </c>
      <c r="BQ277">
        <v>0</v>
      </c>
      <c r="BR277">
        <v>2500</v>
      </c>
      <c r="BS277">
        <v>150</v>
      </c>
      <c r="BT277" t="s">
        <v>128</v>
      </c>
      <c r="BU277">
        <v>0</v>
      </c>
      <c r="BV277">
        <v>0</v>
      </c>
      <c r="BW277">
        <v>0</v>
      </c>
      <c r="BX277">
        <v>1</v>
      </c>
      <c r="CA277">
        <v>0</v>
      </c>
      <c r="CB277">
        <v>0</v>
      </c>
      <c r="CC277">
        <v>0</v>
      </c>
      <c r="CM277" t="str">
        <f>"17:45:06.521"</f>
        <v>17:45:06.521</v>
      </c>
      <c r="CN277">
        <v>520762735</v>
      </c>
      <c r="CQ277">
        <v>0</v>
      </c>
      <c r="CR277">
        <v>2496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3</v>
      </c>
      <c r="DB277">
        <v>2</v>
      </c>
      <c r="DC277">
        <v>0</v>
      </c>
      <c r="DD277">
        <v>2</v>
      </c>
      <c r="DE277">
        <v>0</v>
      </c>
      <c r="DF277">
        <v>7</v>
      </c>
      <c r="DG277">
        <v>7</v>
      </c>
      <c r="DH277" t="s">
        <v>124</v>
      </c>
      <c r="DI277">
        <v>71</v>
      </c>
      <c r="DJ277">
        <v>1</v>
      </c>
      <c r="DK277" t="s">
        <v>134</v>
      </c>
      <c r="DL277" t="s">
        <v>135</v>
      </c>
      <c r="DO277">
        <v>11466557</v>
      </c>
      <c r="DQ277">
        <v>0</v>
      </c>
      <c r="DR277">
        <v>0</v>
      </c>
      <c r="DS277">
        <v>1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</row>
    <row r="278" spans="1:131" x14ac:dyDescent="0.35">
      <c r="A278" s="2" t="str">
        <f>"17:45:07.840"</f>
        <v>17:45:07.840</v>
      </c>
      <c r="B278" s="4">
        <f t="shared" si="49"/>
        <v>63907.839999999997</v>
      </c>
      <c r="C278" s="4">
        <f t="shared" si="43"/>
        <v>307.83999999999651</v>
      </c>
      <c r="D278" s="3">
        <f t="shared" si="44"/>
        <v>0.73967407407407404</v>
      </c>
      <c r="E278" s="2">
        <f t="shared" si="45"/>
        <v>0.73967407407407404</v>
      </c>
      <c r="G278" t="str">
        <f t="shared" si="40"/>
        <v>FFDFD7C0</v>
      </c>
      <c r="H278" t="s">
        <v>126</v>
      </c>
      <c r="I278">
        <v>8</v>
      </c>
      <c r="J278">
        <v>1008</v>
      </c>
      <c r="K278" t="s">
        <v>129</v>
      </c>
      <c r="N278" t="s">
        <v>127</v>
      </c>
      <c r="O278">
        <v>0</v>
      </c>
      <c r="P278">
        <v>3</v>
      </c>
      <c r="Q278">
        <v>0</v>
      </c>
      <c r="R278">
        <v>2</v>
      </c>
      <c r="S278">
        <v>1</v>
      </c>
      <c r="T278">
        <v>0</v>
      </c>
      <c r="U278">
        <v>0</v>
      </c>
      <c r="W278" t="str">
        <f>"17:45:07.453"</f>
        <v>17:45:07.453</v>
      </c>
      <c r="X278" t="str">
        <f>"17:45:07.453"</f>
        <v>17:45:07.453</v>
      </c>
      <c r="Y278" t="str">
        <f t="shared" si="41"/>
        <v>A7C771</v>
      </c>
      <c r="Z278">
        <v>0</v>
      </c>
      <c r="AA278">
        <v>0</v>
      </c>
      <c r="AB278">
        <v>2</v>
      </c>
      <c r="AC278">
        <v>0</v>
      </c>
      <c r="AE278">
        <v>0</v>
      </c>
      <c r="AF278">
        <v>8</v>
      </c>
      <c r="AG278">
        <v>3</v>
      </c>
      <c r="AH278">
        <v>0</v>
      </c>
      <c r="AI278">
        <v>9</v>
      </c>
      <c r="AJ278" t="s">
        <v>125</v>
      </c>
      <c r="AK278">
        <v>0</v>
      </c>
      <c r="AL278">
        <v>3</v>
      </c>
      <c r="AM278">
        <v>2</v>
      </c>
      <c r="AN278">
        <v>1</v>
      </c>
      <c r="AO278" t="s">
        <v>691</v>
      </c>
      <c r="AP278">
        <v>42.949418999999999</v>
      </c>
      <c r="AQ278" t="s">
        <v>692</v>
      </c>
      <c r="AR278">
        <v>-77.575706999999994</v>
      </c>
      <c r="AS278">
        <v>25</v>
      </c>
      <c r="AT278">
        <v>2350</v>
      </c>
      <c r="AU278" t="s">
        <v>123</v>
      </c>
      <c r="AV278">
        <v>41</v>
      </c>
      <c r="AW278">
        <v>177</v>
      </c>
      <c r="AX278">
        <v>64</v>
      </c>
      <c r="AZ278">
        <f t="shared" si="46"/>
        <v>1681</v>
      </c>
      <c r="BA278">
        <f t="shared" si="47"/>
        <v>31329</v>
      </c>
      <c r="BB278" s="1">
        <f t="shared" si="48"/>
        <v>181.68654325513489</v>
      </c>
      <c r="BJ278">
        <v>1404</v>
      </c>
      <c r="BK278">
        <v>1</v>
      </c>
      <c r="BL278" t="str">
        <f t="shared" si="42"/>
        <v xml:space="preserve">N600C   </v>
      </c>
      <c r="BM278">
        <v>2</v>
      </c>
      <c r="BO278">
        <v>0</v>
      </c>
      <c r="BP278">
        <v>0</v>
      </c>
      <c r="BQ278">
        <v>0</v>
      </c>
      <c r="BR278">
        <v>2525</v>
      </c>
      <c r="BS278">
        <v>175</v>
      </c>
      <c r="BT278" t="s">
        <v>128</v>
      </c>
      <c r="BU278">
        <v>0</v>
      </c>
      <c r="BV278">
        <v>0</v>
      </c>
      <c r="BW278">
        <v>0</v>
      </c>
      <c r="BX278">
        <v>1</v>
      </c>
      <c r="CA278">
        <v>0</v>
      </c>
      <c r="CB278">
        <v>0</v>
      </c>
      <c r="CC278">
        <v>0</v>
      </c>
      <c r="CM278" t="str">
        <f>"17:45:07.457"</f>
        <v>17:45:07.457</v>
      </c>
      <c r="CN278">
        <v>456934791</v>
      </c>
      <c r="CQ278">
        <v>0</v>
      </c>
      <c r="CR278">
        <v>2496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3</v>
      </c>
      <c r="DB278">
        <v>2</v>
      </c>
      <c r="DC278">
        <v>0</v>
      </c>
      <c r="DD278">
        <v>2</v>
      </c>
      <c r="DE278">
        <v>0</v>
      </c>
      <c r="DF278">
        <v>7</v>
      </c>
      <c r="DG278">
        <v>7</v>
      </c>
      <c r="DH278" t="s">
        <v>124</v>
      </c>
      <c r="DI278">
        <v>71</v>
      </c>
      <c r="DJ278">
        <v>0</v>
      </c>
      <c r="DK278" t="s">
        <v>134</v>
      </c>
      <c r="DL278" t="s">
        <v>135</v>
      </c>
      <c r="DO278">
        <v>10125742</v>
      </c>
      <c r="DQ278">
        <v>0</v>
      </c>
      <c r="DR278">
        <v>0</v>
      </c>
      <c r="DS278">
        <v>1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</row>
    <row r="279" spans="1:131" x14ac:dyDescent="0.35">
      <c r="A279" s="2" t="str">
        <f>"17:45:08.906"</f>
        <v>17:45:08.906</v>
      </c>
      <c r="B279" s="4">
        <f t="shared" si="49"/>
        <v>63908.90600000001</v>
      </c>
      <c r="C279" s="4">
        <f t="shared" si="43"/>
        <v>308.90600000000995</v>
      </c>
      <c r="D279" s="3">
        <f t="shared" si="44"/>
        <v>0.73968641203703711</v>
      </c>
      <c r="E279" s="2">
        <f t="shared" si="45"/>
        <v>0.73968641203703711</v>
      </c>
      <c r="G279" t="str">
        <f t="shared" si="40"/>
        <v>FFDFD7C0</v>
      </c>
      <c r="H279" t="s">
        <v>126</v>
      </c>
      <c r="I279">
        <v>8</v>
      </c>
      <c r="J279">
        <v>1008</v>
      </c>
      <c r="K279" t="s">
        <v>129</v>
      </c>
      <c r="N279" t="s">
        <v>127</v>
      </c>
      <c r="O279">
        <v>0</v>
      </c>
      <c r="P279">
        <v>3</v>
      </c>
      <c r="Q279">
        <v>0</v>
      </c>
      <c r="R279">
        <v>2</v>
      </c>
      <c r="S279">
        <v>1</v>
      </c>
      <c r="T279">
        <v>0</v>
      </c>
      <c r="U279">
        <v>0</v>
      </c>
      <c r="W279" t="str">
        <f>"17:45:08.602"</f>
        <v>17:45:08.602</v>
      </c>
      <c r="X279" t="str">
        <f>"17:45:08.402"</f>
        <v>17:45:08.402</v>
      </c>
      <c r="Y279" t="str">
        <f t="shared" si="41"/>
        <v>A7C771</v>
      </c>
      <c r="Z279">
        <v>0</v>
      </c>
      <c r="AA279">
        <v>0</v>
      </c>
      <c r="AB279">
        <v>2</v>
      </c>
      <c r="AC279">
        <v>0</v>
      </c>
      <c r="AE279">
        <v>0</v>
      </c>
      <c r="AF279">
        <v>8</v>
      </c>
      <c r="AG279">
        <v>3</v>
      </c>
      <c r="AH279">
        <v>0</v>
      </c>
      <c r="AI279">
        <v>9</v>
      </c>
      <c r="AJ279" t="s">
        <v>125</v>
      </c>
      <c r="AK279">
        <v>0</v>
      </c>
      <c r="AL279">
        <v>3</v>
      </c>
      <c r="AM279">
        <v>2</v>
      </c>
      <c r="AN279">
        <v>1</v>
      </c>
      <c r="AO279" t="s">
        <v>693</v>
      </c>
      <c r="AP279">
        <v>42.950406000000001</v>
      </c>
      <c r="AQ279" t="s">
        <v>694</v>
      </c>
      <c r="AR279">
        <v>-77.575450000000004</v>
      </c>
      <c r="AS279">
        <v>25</v>
      </c>
      <c r="AT279">
        <v>2350</v>
      </c>
      <c r="AU279" t="s">
        <v>123</v>
      </c>
      <c r="AV279">
        <v>40</v>
      </c>
      <c r="AW279">
        <v>177</v>
      </c>
      <c r="AX279">
        <v>0</v>
      </c>
      <c r="AZ279">
        <f t="shared" si="46"/>
        <v>1600</v>
      </c>
      <c r="BA279">
        <f t="shared" si="47"/>
        <v>31329</v>
      </c>
      <c r="BB279" s="1">
        <f t="shared" si="48"/>
        <v>181.46349495146399</v>
      </c>
      <c r="BJ279">
        <v>1404</v>
      </c>
      <c r="BK279">
        <v>1</v>
      </c>
      <c r="BL279" t="str">
        <f t="shared" si="42"/>
        <v xml:space="preserve">N600C   </v>
      </c>
      <c r="BM279">
        <v>2</v>
      </c>
      <c r="BO279">
        <v>0</v>
      </c>
      <c r="BP279">
        <v>0</v>
      </c>
      <c r="BQ279">
        <v>0</v>
      </c>
      <c r="BR279">
        <v>2500</v>
      </c>
      <c r="BS279">
        <v>150</v>
      </c>
      <c r="BT279" t="s">
        <v>128</v>
      </c>
      <c r="BU279">
        <v>0</v>
      </c>
      <c r="BV279">
        <v>0</v>
      </c>
      <c r="BW279">
        <v>0</v>
      </c>
      <c r="BX279">
        <v>1</v>
      </c>
      <c r="CA279">
        <v>0</v>
      </c>
      <c r="CB279">
        <v>0</v>
      </c>
      <c r="CC279">
        <v>0</v>
      </c>
      <c r="CM279" t="str">
        <f>"17:45:08.609"</f>
        <v>17:45:08.609</v>
      </c>
      <c r="CN279">
        <v>609135770</v>
      </c>
      <c r="CQ279">
        <v>0</v>
      </c>
      <c r="CR279">
        <v>2496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3</v>
      </c>
      <c r="DB279">
        <v>2</v>
      </c>
      <c r="DC279">
        <v>0</v>
      </c>
      <c r="DD279">
        <v>2</v>
      </c>
      <c r="DE279">
        <v>0</v>
      </c>
      <c r="DF279">
        <v>7</v>
      </c>
      <c r="DG279">
        <v>7</v>
      </c>
      <c r="DH279" t="s">
        <v>124</v>
      </c>
      <c r="DI279">
        <v>71</v>
      </c>
      <c r="DJ279">
        <v>1</v>
      </c>
      <c r="DK279" t="s">
        <v>134</v>
      </c>
      <c r="DL279" t="s">
        <v>135</v>
      </c>
      <c r="DO279">
        <v>11468373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</row>
    <row r="280" spans="1:131" x14ac:dyDescent="0.35">
      <c r="A280" s="2" t="str">
        <f>"17:45:09.803"</f>
        <v>17:45:09.803</v>
      </c>
      <c r="B280" s="4">
        <f t="shared" si="49"/>
        <v>63909.803</v>
      </c>
      <c r="C280" s="4">
        <f t="shared" si="43"/>
        <v>309.80299999999988</v>
      </c>
      <c r="D280" s="3">
        <f t="shared" si="44"/>
        <v>0.73969679398148147</v>
      </c>
      <c r="E280" s="2">
        <f t="shared" si="45"/>
        <v>0.73969679398148147</v>
      </c>
      <c r="G280" t="str">
        <f t="shared" si="40"/>
        <v>FFDFD7C0</v>
      </c>
      <c r="H280" t="s">
        <v>126</v>
      </c>
      <c r="I280">
        <v>8</v>
      </c>
      <c r="J280">
        <v>1008</v>
      </c>
      <c r="K280" t="s">
        <v>129</v>
      </c>
      <c r="N280" t="s">
        <v>127</v>
      </c>
      <c r="O280">
        <v>0</v>
      </c>
      <c r="P280">
        <v>3</v>
      </c>
      <c r="Q280">
        <v>0</v>
      </c>
      <c r="R280">
        <v>2</v>
      </c>
      <c r="S280">
        <v>1</v>
      </c>
      <c r="T280">
        <v>0</v>
      </c>
      <c r="U280">
        <v>0</v>
      </c>
      <c r="W280" t="str">
        <f>"17:45:09.531"</f>
        <v>17:45:09.531</v>
      </c>
      <c r="X280" t="str">
        <f>"17:45:08.931"</f>
        <v>17:45:08.931</v>
      </c>
      <c r="Y280" t="str">
        <f t="shared" si="41"/>
        <v>A7C771</v>
      </c>
      <c r="Z280">
        <v>0</v>
      </c>
      <c r="AA280">
        <v>0</v>
      </c>
      <c r="AB280">
        <v>2</v>
      </c>
      <c r="AC280">
        <v>0</v>
      </c>
      <c r="AE280">
        <v>0</v>
      </c>
      <c r="AF280">
        <v>8</v>
      </c>
      <c r="AG280">
        <v>3</v>
      </c>
      <c r="AH280">
        <v>0</v>
      </c>
      <c r="AI280">
        <v>9</v>
      </c>
      <c r="AJ280" t="s">
        <v>125</v>
      </c>
      <c r="AK280">
        <v>0</v>
      </c>
      <c r="AL280">
        <v>3</v>
      </c>
      <c r="AM280">
        <v>2</v>
      </c>
      <c r="AN280">
        <v>1</v>
      </c>
      <c r="AO280" t="s">
        <v>695</v>
      </c>
      <c r="AP280">
        <v>42.951135999999998</v>
      </c>
      <c r="AQ280" t="s">
        <v>696</v>
      </c>
      <c r="AR280">
        <v>-77.575235000000006</v>
      </c>
      <c r="AS280">
        <v>25</v>
      </c>
      <c r="AT280">
        <v>2350</v>
      </c>
      <c r="AU280" t="s">
        <v>123</v>
      </c>
      <c r="AV280">
        <v>40</v>
      </c>
      <c r="AW280">
        <v>177</v>
      </c>
      <c r="AX280">
        <v>0</v>
      </c>
      <c r="AZ280">
        <f t="shared" si="46"/>
        <v>1600</v>
      </c>
      <c r="BA280">
        <f t="shared" si="47"/>
        <v>31329</v>
      </c>
      <c r="BB280" s="1">
        <f t="shared" si="48"/>
        <v>181.46349495146399</v>
      </c>
      <c r="BJ280">
        <v>1404</v>
      </c>
      <c r="BK280">
        <v>1</v>
      </c>
      <c r="BL280" t="str">
        <f t="shared" si="42"/>
        <v xml:space="preserve">N600C   </v>
      </c>
      <c r="BM280">
        <v>2</v>
      </c>
      <c r="BO280">
        <v>0</v>
      </c>
      <c r="BP280">
        <v>0</v>
      </c>
      <c r="BQ280">
        <v>0</v>
      </c>
      <c r="BR280">
        <v>2500</v>
      </c>
      <c r="BS280">
        <v>150</v>
      </c>
      <c r="BT280" t="s">
        <v>128</v>
      </c>
      <c r="BU280">
        <v>0</v>
      </c>
      <c r="BV280">
        <v>0</v>
      </c>
      <c r="BW280">
        <v>0</v>
      </c>
      <c r="BX280">
        <v>1</v>
      </c>
      <c r="CA280">
        <v>0</v>
      </c>
      <c r="CB280">
        <v>0</v>
      </c>
      <c r="CC280">
        <v>0</v>
      </c>
      <c r="CM280" t="str">
        <f>"17:45:09.537"</f>
        <v>17:45:09.537</v>
      </c>
      <c r="CN280">
        <v>537304806</v>
      </c>
      <c r="CQ280">
        <v>0</v>
      </c>
      <c r="CR280">
        <v>2496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3</v>
      </c>
      <c r="DB280">
        <v>2</v>
      </c>
      <c r="DC280">
        <v>0</v>
      </c>
      <c r="DD280">
        <v>2</v>
      </c>
      <c r="DE280">
        <v>0</v>
      </c>
      <c r="DF280">
        <v>7</v>
      </c>
      <c r="DG280">
        <v>7</v>
      </c>
      <c r="DH280" t="s">
        <v>124</v>
      </c>
      <c r="DI280">
        <v>71</v>
      </c>
      <c r="DJ280">
        <v>0</v>
      </c>
      <c r="DK280" t="s">
        <v>134</v>
      </c>
      <c r="DL280" t="s">
        <v>135</v>
      </c>
      <c r="DO280">
        <v>10127224</v>
      </c>
      <c r="DQ280">
        <v>0</v>
      </c>
      <c r="DR280">
        <v>0</v>
      </c>
      <c r="DS280">
        <v>1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</row>
    <row r="281" spans="1:131" x14ac:dyDescent="0.35">
      <c r="A281" s="2" t="str">
        <f>"17:45:10.991"</f>
        <v>17:45:10.991</v>
      </c>
      <c r="B281" s="4">
        <f t="shared" si="49"/>
        <v>63910.991000000002</v>
      </c>
      <c r="C281" s="4">
        <f t="shared" si="43"/>
        <v>310.9910000000018</v>
      </c>
      <c r="D281" s="3">
        <f t="shared" si="44"/>
        <v>0.73971054398148151</v>
      </c>
      <c r="E281" s="2">
        <f t="shared" si="45"/>
        <v>0.73971054398148151</v>
      </c>
      <c r="G281" t="str">
        <f t="shared" si="40"/>
        <v>FFDFD7C0</v>
      </c>
      <c r="H281" t="s">
        <v>126</v>
      </c>
      <c r="I281">
        <v>8</v>
      </c>
      <c r="J281">
        <v>1008</v>
      </c>
      <c r="K281" t="s">
        <v>129</v>
      </c>
      <c r="N281" t="s">
        <v>127</v>
      </c>
      <c r="O281">
        <v>0</v>
      </c>
      <c r="P281">
        <v>3</v>
      </c>
      <c r="Q281">
        <v>0</v>
      </c>
      <c r="R281">
        <v>2</v>
      </c>
      <c r="S281">
        <v>1</v>
      </c>
      <c r="T281">
        <v>0</v>
      </c>
      <c r="U281">
        <v>0</v>
      </c>
      <c r="W281" t="str">
        <f>"17:45:10.570"</f>
        <v>17:45:10.570</v>
      </c>
      <c r="X281" t="str">
        <f>"17:45:10.570"</f>
        <v>17:45:10.570</v>
      </c>
      <c r="Y281" t="str">
        <f t="shared" si="41"/>
        <v>A7C771</v>
      </c>
      <c r="Z281">
        <v>0</v>
      </c>
      <c r="AA281">
        <v>0</v>
      </c>
      <c r="AB281">
        <v>2</v>
      </c>
      <c r="AC281">
        <v>0</v>
      </c>
      <c r="AE281">
        <v>0</v>
      </c>
      <c r="AF281">
        <v>8</v>
      </c>
      <c r="AG281">
        <v>3</v>
      </c>
      <c r="AH281">
        <v>0</v>
      </c>
      <c r="AI281">
        <v>9</v>
      </c>
      <c r="AJ281" t="s">
        <v>125</v>
      </c>
      <c r="AK281">
        <v>0</v>
      </c>
      <c r="AL281">
        <v>3</v>
      </c>
      <c r="AM281">
        <v>2</v>
      </c>
      <c r="AN281">
        <v>1</v>
      </c>
      <c r="AO281" t="s">
        <v>697</v>
      </c>
      <c r="AP281">
        <v>42.951971999999998</v>
      </c>
      <c r="AQ281" t="s">
        <v>698</v>
      </c>
      <c r="AR281">
        <v>-77.574978000000002</v>
      </c>
      <c r="AS281">
        <v>25</v>
      </c>
      <c r="AT281">
        <v>2350</v>
      </c>
      <c r="AU281" t="s">
        <v>123</v>
      </c>
      <c r="AV281">
        <v>38</v>
      </c>
      <c r="AW281">
        <v>176</v>
      </c>
      <c r="AX281">
        <v>-64</v>
      </c>
      <c r="AZ281">
        <f t="shared" si="46"/>
        <v>1444</v>
      </c>
      <c r="BA281">
        <f t="shared" si="47"/>
        <v>30976</v>
      </c>
      <c r="BB281" s="1">
        <f t="shared" si="48"/>
        <v>180.05554698481245</v>
      </c>
      <c r="BJ281">
        <v>1404</v>
      </c>
      <c r="BK281">
        <v>1</v>
      </c>
      <c r="BL281" t="str">
        <f t="shared" si="42"/>
        <v xml:space="preserve">N600C   </v>
      </c>
      <c r="BM281">
        <v>2</v>
      </c>
      <c r="BO281">
        <v>0</v>
      </c>
      <c r="BP281">
        <v>0</v>
      </c>
      <c r="BQ281">
        <v>0</v>
      </c>
      <c r="BR281">
        <v>2525</v>
      </c>
      <c r="BS281">
        <v>175</v>
      </c>
      <c r="BT281" t="s">
        <v>128</v>
      </c>
      <c r="BU281">
        <v>0</v>
      </c>
      <c r="BV281">
        <v>0</v>
      </c>
      <c r="BW281">
        <v>0</v>
      </c>
      <c r="BX281">
        <v>1</v>
      </c>
      <c r="CA281">
        <v>0</v>
      </c>
      <c r="CB281">
        <v>0</v>
      </c>
      <c r="CC281">
        <v>0</v>
      </c>
      <c r="CM281" t="str">
        <f>"17:45:10.578"</f>
        <v>17:45:10.578</v>
      </c>
      <c r="CN281">
        <v>577505861</v>
      </c>
      <c r="CQ281">
        <v>0</v>
      </c>
      <c r="CR281">
        <v>2496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3</v>
      </c>
      <c r="DB281">
        <v>2</v>
      </c>
      <c r="DC281">
        <v>0</v>
      </c>
      <c r="DD281">
        <v>2</v>
      </c>
      <c r="DE281">
        <v>0</v>
      </c>
      <c r="DF281">
        <v>7</v>
      </c>
      <c r="DG281">
        <v>7</v>
      </c>
      <c r="DH281" t="s">
        <v>124</v>
      </c>
      <c r="DI281">
        <v>407</v>
      </c>
      <c r="DJ281">
        <v>3</v>
      </c>
      <c r="DK281" t="s">
        <v>132</v>
      </c>
      <c r="DL281" t="s">
        <v>133</v>
      </c>
      <c r="DO281">
        <v>1525819</v>
      </c>
      <c r="DQ281">
        <v>0</v>
      </c>
      <c r="DR281">
        <v>0</v>
      </c>
      <c r="DS281">
        <v>1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</row>
    <row r="282" spans="1:131" x14ac:dyDescent="0.35">
      <c r="A282" s="2" t="str">
        <f>"17:45:11.819"</f>
        <v>17:45:11.819</v>
      </c>
      <c r="B282" s="4">
        <f t="shared" si="49"/>
        <v>63911.819000000003</v>
      </c>
      <c r="C282" s="4">
        <f t="shared" si="43"/>
        <v>311.81900000000314</v>
      </c>
      <c r="D282" s="3">
        <f t="shared" si="44"/>
        <v>0.73972012731481485</v>
      </c>
      <c r="E282" s="2">
        <f t="shared" si="45"/>
        <v>0.73972012731481485</v>
      </c>
      <c r="G282" t="str">
        <f t="shared" si="40"/>
        <v>FFDFD7C0</v>
      </c>
      <c r="H282" t="s">
        <v>126</v>
      </c>
      <c r="I282">
        <v>8</v>
      </c>
      <c r="J282">
        <v>1008</v>
      </c>
      <c r="K282" t="s">
        <v>129</v>
      </c>
      <c r="N282" t="s">
        <v>127</v>
      </c>
      <c r="O282">
        <v>0</v>
      </c>
      <c r="P282">
        <v>3</v>
      </c>
      <c r="Q282">
        <v>0</v>
      </c>
      <c r="R282">
        <v>2</v>
      </c>
      <c r="S282">
        <v>1</v>
      </c>
      <c r="T282">
        <v>0</v>
      </c>
      <c r="U282">
        <v>0</v>
      </c>
      <c r="W282" t="str">
        <f>"17:45:11.539"</f>
        <v>17:45:11.539</v>
      </c>
      <c r="X282" t="str">
        <f>"17:45:11.039"</f>
        <v>17:45:11.039</v>
      </c>
      <c r="Y282" t="str">
        <f t="shared" si="41"/>
        <v>A7C771</v>
      </c>
      <c r="Z282">
        <v>0</v>
      </c>
      <c r="AA282">
        <v>0</v>
      </c>
      <c r="AB282">
        <v>2</v>
      </c>
      <c r="AC282">
        <v>0</v>
      </c>
      <c r="AE282">
        <v>0</v>
      </c>
      <c r="AF282">
        <v>8</v>
      </c>
      <c r="AG282">
        <v>3</v>
      </c>
      <c r="AH282">
        <v>0</v>
      </c>
      <c r="AI282">
        <v>9</v>
      </c>
      <c r="AJ282" t="s">
        <v>125</v>
      </c>
      <c r="AK282">
        <v>0</v>
      </c>
      <c r="AL282">
        <v>3</v>
      </c>
      <c r="AM282">
        <v>2</v>
      </c>
      <c r="AN282">
        <v>1</v>
      </c>
      <c r="AO282" t="s">
        <v>699</v>
      </c>
      <c r="AP282">
        <v>42.952787999999998</v>
      </c>
      <c r="AQ282" t="s">
        <v>700</v>
      </c>
      <c r="AR282">
        <v>-77.574719999999999</v>
      </c>
      <c r="AS282">
        <v>25</v>
      </c>
      <c r="AT282">
        <v>2350</v>
      </c>
      <c r="AU282" t="s">
        <v>123</v>
      </c>
      <c r="AV282">
        <v>38</v>
      </c>
      <c r="AW282">
        <v>176</v>
      </c>
      <c r="AX282">
        <v>-128</v>
      </c>
      <c r="AZ282">
        <f t="shared" si="46"/>
        <v>1444</v>
      </c>
      <c r="BA282">
        <f t="shared" si="47"/>
        <v>30976</v>
      </c>
      <c r="BB282" s="1">
        <f t="shared" si="48"/>
        <v>180.05554698481245</v>
      </c>
      <c r="BJ282">
        <v>1404</v>
      </c>
      <c r="BK282">
        <v>1</v>
      </c>
      <c r="BL282" t="str">
        <f t="shared" si="42"/>
        <v xml:space="preserve">N600C   </v>
      </c>
      <c r="BM282">
        <v>2</v>
      </c>
      <c r="BO282">
        <v>0</v>
      </c>
      <c r="BP282">
        <v>0</v>
      </c>
      <c r="BQ282">
        <v>0</v>
      </c>
      <c r="BR282">
        <v>2500</v>
      </c>
      <c r="BS282">
        <v>150</v>
      </c>
      <c r="BT282" t="s">
        <v>128</v>
      </c>
      <c r="BU282">
        <v>0</v>
      </c>
      <c r="BV282">
        <v>0</v>
      </c>
      <c r="BW282">
        <v>0</v>
      </c>
      <c r="BX282">
        <v>1</v>
      </c>
      <c r="CA282">
        <v>0</v>
      </c>
      <c r="CB282">
        <v>0</v>
      </c>
      <c r="CC282">
        <v>0</v>
      </c>
      <c r="CM282" t="str">
        <f>"17:45:11.546"</f>
        <v>17:45:11.546</v>
      </c>
      <c r="CN282">
        <v>545678658</v>
      </c>
      <c r="CQ282">
        <v>0</v>
      </c>
      <c r="CR282">
        <v>2496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3</v>
      </c>
      <c r="DB282">
        <v>2</v>
      </c>
      <c r="DC282">
        <v>0</v>
      </c>
      <c r="DD282">
        <v>2</v>
      </c>
      <c r="DE282">
        <v>0</v>
      </c>
      <c r="DF282">
        <v>7</v>
      </c>
      <c r="DG282">
        <v>7</v>
      </c>
      <c r="DH282" t="s">
        <v>124</v>
      </c>
      <c r="DI282">
        <v>71</v>
      </c>
      <c r="DJ282">
        <v>1</v>
      </c>
      <c r="DK282" t="s">
        <v>134</v>
      </c>
      <c r="DL282" t="s">
        <v>135</v>
      </c>
      <c r="DO282">
        <v>11470979</v>
      </c>
      <c r="DQ282">
        <v>0</v>
      </c>
      <c r="DR282">
        <v>0</v>
      </c>
      <c r="DS282">
        <v>1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</row>
    <row r="283" spans="1:131" x14ac:dyDescent="0.35">
      <c r="A283" s="2" t="str">
        <f>"17:45:12.866"</f>
        <v>17:45:12.866</v>
      </c>
      <c r="B283" s="4">
        <f t="shared" si="49"/>
        <v>63912.866000000002</v>
      </c>
      <c r="C283" s="4">
        <f t="shared" si="43"/>
        <v>312.8660000000018</v>
      </c>
      <c r="D283" s="3">
        <f t="shared" si="44"/>
        <v>0.73973224537037041</v>
      </c>
      <c r="E283" s="2">
        <f t="shared" si="45"/>
        <v>0.73973224537037041</v>
      </c>
      <c r="G283" t="str">
        <f t="shared" si="40"/>
        <v>FFDFD7C0</v>
      </c>
      <c r="H283" t="s">
        <v>126</v>
      </c>
      <c r="I283">
        <v>8</v>
      </c>
      <c r="J283">
        <v>1008</v>
      </c>
      <c r="K283" t="s">
        <v>129</v>
      </c>
      <c r="N283" t="s">
        <v>127</v>
      </c>
      <c r="O283">
        <v>0</v>
      </c>
      <c r="P283">
        <v>3</v>
      </c>
      <c r="Q283">
        <v>0</v>
      </c>
      <c r="R283">
        <v>2</v>
      </c>
      <c r="S283">
        <v>1</v>
      </c>
      <c r="T283">
        <v>0</v>
      </c>
      <c r="U283">
        <v>0</v>
      </c>
      <c r="W283" t="str">
        <f>"17:45:12.617"</f>
        <v>17:45:12.617</v>
      </c>
      <c r="X283" t="str">
        <f>"17:45:12.617"</f>
        <v>17:45:12.617</v>
      </c>
      <c r="Y283" t="str">
        <f t="shared" si="41"/>
        <v>A7C771</v>
      </c>
      <c r="Z283">
        <v>0</v>
      </c>
      <c r="AA283">
        <v>0</v>
      </c>
      <c r="AB283">
        <v>2</v>
      </c>
      <c r="AC283">
        <v>0</v>
      </c>
      <c r="AE283">
        <v>0</v>
      </c>
      <c r="AF283">
        <v>8</v>
      </c>
      <c r="AG283">
        <v>3</v>
      </c>
      <c r="AH283">
        <v>0</v>
      </c>
      <c r="AI283">
        <v>9</v>
      </c>
      <c r="AJ283" t="s">
        <v>125</v>
      </c>
      <c r="AK283">
        <v>0</v>
      </c>
      <c r="AL283">
        <v>3</v>
      </c>
      <c r="AM283">
        <v>2</v>
      </c>
      <c r="AN283">
        <v>1</v>
      </c>
      <c r="AO283" t="s">
        <v>701</v>
      </c>
      <c r="AP283">
        <v>42.953645999999999</v>
      </c>
      <c r="AQ283" t="s">
        <v>702</v>
      </c>
      <c r="AR283">
        <v>-77.574462999999994</v>
      </c>
      <c r="AS283">
        <v>25</v>
      </c>
      <c r="AT283">
        <v>2350</v>
      </c>
      <c r="AU283" t="s">
        <v>123</v>
      </c>
      <c r="AV283">
        <v>38</v>
      </c>
      <c r="AW283">
        <v>176</v>
      </c>
      <c r="AX283">
        <v>-256</v>
      </c>
      <c r="AZ283">
        <f t="shared" si="46"/>
        <v>1444</v>
      </c>
      <c r="BA283">
        <f t="shared" si="47"/>
        <v>30976</v>
      </c>
      <c r="BB283" s="1">
        <f t="shared" si="48"/>
        <v>180.05554698481245</v>
      </c>
      <c r="BJ283">
        <v>1404</v>
      </c>
      <c r="BK283">
        <v>1</v>
      </c>
      <c r="BL283" t="str">
        <f t="shared" si="42"/>
        <v xml:space="preserve">N600C   </v>
      </c>
      <c r="BM283">
        <v>2</v>
      </c>
      <c r="BO283">
        <v>0</v>
      </c>
      <c r="BP283">
        <v>0</v>
      </c>
      <c r="BQ283">
        <v>0</v>
      </c>
      <c r="BR283">
        <v>2525</v>
      </c>
      <c r="BS283">
        <v>175</v>
      </c>
      <c r="BT283" t="s">
        <v>128</v>
      </c>
      <c r="BU283">
        <v>0</v>
      </c>
      <c r="BV283">
        <v>0</v>
      </c>
      <c r="BW283">
        <v>0</v>
      </c>
      <c r="BX283">
        <v>1</v>
      </c>
      <c r="CA283">
        <v>0</v>
      </c>
      <c r="CB283">
        <v>0</v>
      </c>
      <c r="CC283">
        <v>0</v>
      </c>
      <c r="CM283" t="str">
        <f>"17:45:12.618"</f>
        <v>17:45:12.618</v>
      </c>
      <c r="CN283">
        <v>617881746</v>
      </c>
      <c r="CQ283">
        <v>0</v>
      </c>
      <c r="CR283">
        <v>2496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3</v>
      </c>
      <c r="DB283">
        <v>2</v>
      </c>
      <c r="DC283">
        <v>0</v>
      </c>
      <c r="DD283">
        <v>2</v>
      </c>
      <c r="DE283">
        <v>0</v>
      </c>
      <c r="DF283">
        <v>7</v>
      </c>
      <c r="DG283">
        <v>7</v>
      </c>
      <c r="DH283" t="s">
        <v>124</v>
      </c>
      <c r="DI283">
        <v>71</v>
      </c>
      <c r="DJ283">
        <v>0</v>
      </c>
      <c r="DK283" t="s">
        <v>134</v>
      </c>
      <c r="DL283" t="s">
        <v>135</v>
      </c>
      <c r="DO283">
        <v>10129588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</row>
    <row r="284" spans="1:131" x14ac:dyDescent="0.35">
      <c r="A284" s="2" t="str">
        <f>"17:45:26.600"</f>
        <v>17:45:26.600</v>
      </c>
      <c r="B284" s="4">
        <f t="shared" si="49"/>
        <v>63926.6</v>
      </c>
      <c r="C284" s="4">
        <f t="shared" si="43"/>
        <v>326.59999999999854</v>
      </c>
      <c r="D284" s="3">
        <f t="shared" si="44"/>
        <v>0.73989120370370365</v>
      </c>
      <c r="E284" s="2">
        <f t="shared" si="45"/>
        <v>0.73989120370370365</v>
      </c>
      <c r="G284" t="str">
        <f t="shared" si="40"/>
        <v>FFDFD7C0</v>
      </c>
      <c r="H284" t="s">
        <v>126</v>
      </c>
      <c r="I284">
        <v>8</v>
      </c>
      <c r="J284">
        <v>1008</v>
      </c>
      <c r="K284" t="s">
        <v>129</v>
      </c>
      <c r="N284" t="s">
        <v>127</v>
      </c>
      <c r="O284">
        <v>0</v>
      </c>
      <c r="P284">
        <v>3</v>
      </c>
      <c r="Q284">
        <v>0</v>
      </c>
      <c r="R284">
        <v>2</v>
      </c>
      <c r="S284">
        <v>1</v>
      </c>
      <c r="T284">
        <v>0</v>
      </c>
      <c r="U284">
        <v>0</v>
      </c>
      <c r="W284" t="str">
        <f>"17:45:26.359"</f>
        <v>17:45:26.359</v>
      </c>
      <c r="X284" t="str">
        <f>"17:45:26.359"</f>
        <v>17:45:26.359</v>
      </c>
      <c r="Y284" t="str">
        <f t="shared" si="41"/>
        <v>A7C771</v>
      </c>
      <c r="Z284">
        <v>0</v>
      </c>
      <c r="AA284">
        <v>0</v>
      </c>
      <c r="AB284">
        <v>2</v>
      </c>
      <c r="AC284">
        <v>0</v>
      </c>
      <c r="AE284">
        <v>0</v>
      </c>
      <c r="AF284">
        <v>8</v>
      </c>
      <c r="AG284">
        <v>3</v>
      </c>
      <c r="AH284">
        <v>0</v>
      </c>
      <c r="AI284">
        <v>9</v>
      </c>
      <c r="AJ284" t="s">
        <v>125</v>
      </c>
      <c r="AK284">
        <v>0</v>
      </c>
      <c r="AL284">
        <v>3</v>
      </c>
      <c r="AM284">
        <v>2</v>
      </c>
      <c r="AN284">
        <v>1</v>
      </c>
      <c r="AO284" t="s">
        <v>703</v>
      </c>
      <c r="AP284">
        <v>42.964826000000002</v>
      </c>
      <c r="AQ284" t="s">
        <v>704</v>
      </c>
      <c r="AR284">
        <v>-77.571588000000006</v>
      </c>
      <c r="AS284">
        <v>25</v>
      </c>
      <c r="AT284">
        <v>2300</v>
      </c>
      <c r="AU284" t="s">
        <v>123</v>
      </c>
      <c r="AV284">
        <v>30</v>
      </c>
      <c r="AW284">
        <v>176</v>
      </c>
      <c r="AX284">
        <v>-128</v>
      </c>
      <c r="AZ284">
        <f t="shared" si="46"/>
        <v>900</v>
      </c>
      <c r="BA284">
        <f t="shared" si="47"/>
        <v>30976</v>
      </c>
      <c r="BB284" s="1">
        <f t="shared" si="48"/>
        <v>178.53851125177448</v>
      </c>
      <c r="BJ284">
        <v>1404</v>
      </c>
      <c r="BK284">
        <v>1</v>
      </c>
      <c r="BL284" t="str">
        <f t="shared" si="42"/>
        <v xml:space="preserve">N600C   </v>
      </c>
      <c r="BM284">
        <v>2</v>
      </c>
      <c r="BO284">
        <v>0</v>
      </c>
      <c r="BP284">
        <v>0</v>
      </c>
      <c r="BQ284">
        <v>0</v>
      </c>
      <c r="BR284">
        <v>2475</v>
      </c>
      <c r="BS284">
        <v>175</v>
      </c>
      <c r="BT284" t="s">
        <v>128</v>
      </c>
      <c r="BU284">
        <v>0</v>
      </c>
      <c r="BV284">
        <v>0</v>
      </c>
      <c r="BW284">
        <v>0</v>
      </c>
      <c r="BX284">
        <v>1</v>
      </c>
      <c r="CA284">
        <v>0</v>
      </c>
      <c r="CB284">
        <v>0</v>
      </c>
      <c r="CC284">
        <v>0</v>
      </c>
      <c r="CM284" t="str">
        <f>"17:45:26.364"</f>
        <v>17:45:26.364</v>
      </c>
      <c r="CN284">
        <v>364428319</v>
      </c>
      <c r="CQ284">
        <v>0</v>
      </c>
      <c r="CR284">
        <v>2496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3</v>
      </c>
      <c r="DB284">
        <v>2</v>
      </c>
      <c r="DC284">
        <v>0</v>
      </c>
      <c r="DD284">
        <v>2</v>
      </c>
      <c r="DE284">
        <v>0</v>
      </c>
      <c r="DF284">
        <v>7</v>
      </c>
      <c r="DG284">
        <v>7</v>
      </c>
      <c r="DH284" t="s">
        <v>124</v>
      </c>
      <c r="DI284">
        <v>71</v>
      </c>
      <c r="DJ284">
        <v>0</v>
      </c>
      <c r="DK284" t="s">
        <v>134</v>
      </c>
      <c r="DL284" t="s">
        <v>135</v>
      </c>
      <c r="DO284">
        <v>10139692</v>
      </c>
      <c r="DQ284">
        <v>0</v>
      </c>
      <c r="DR284">
        <v>0</v>
      </c>
      <c r="DS284">
        <v>1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</row>
    <row r="285" spans="1:131" x14ac:dyDescent="0.35">
      <c r="A285" s="2" t="str">
        <f>"17:45:27.491"</f>
        <v>17:45:27.491</v>
      </c>
      <c r="B285" s="4">
        <f t="shared" si="49"/>
        <v>63927.491000000002</v>
      </c>
      <c r="C285" s="4">
        <f t="shared" si="43"/>
        <v>327.4910000000018</v>
      </c>
      <c r="D285" s="3">
        <f t="shared" si="44"/>
        <v>0.7399015162037037</v>
      </c>
      <c r="E285" s="2">
        <f t="shared" si="45"/>
        <v>0.7399015162037037</v>
      </c>
      <c r="G285" t="str">
        <f t="shared" si="40"/>
        <v>FFDFD7C0</v>
      </c>
      <c r="H285" t="s">
        <v>126</v>
      </c>
      <c r="I285">
        <v>8</v>
      </c>
      <c r="J285">
        <v>1008</v>
      </c>
      <c r="K285" t="s">
        <v>129</v>
      </c>
      <c r="N285" t="s">
        <v>127</v>
      </c>
      <c r="O285">
        <v>0</v>
      </c>
      <c r="P285">
        <v>3</v>
      </c>
      <c r="Q285">
        <v>0</v>
      </c>
      <c r="R285">
        <v>2</v>
      </c>
      <c r="S285">
        <v>1</v>
      </c>
      <c r="T285">
        <v>0</v>
      </c>
      <c r="U285">
        <v>0</v>
      </c>
      <c r="W285" t="str">
        <f>"17:45:27.266"</f>
        <v>17:45:27.266</v>
      </c>
      <c r="X285" t="str">
        <f>"17:45:26.766"</f>
        <v>17:45:26.766</v>
      </c>
      <c r="Y285" t="str">
        <f t="shared" si="41"/>
        <v>A7C771</v>
      </c>
      <c r="Z285">
        <v>0</v>
      </c>
      <c r="AA285">
        <v>0</v>
      </c>
      <c r="AB285">
        <v>2</v>
      </c>
      <c r="AC285">
        <v>0</v>
      </c>
      <c r="AE285">
        <v>0</v>
      </c>
      <c r="AF285">
        <v>8</v>
      </c>
      <c r="AG285">
        <v>3</v>
      </c>
      <c r="AH285">
        <v>0</v>
      </c>
      <c r="AI285">
        <v>9</v>
      </c>
      <c r="AJ285" t="s">
        <v>125</v>
      </c>
      <c r="AK285">
        <v>0</v>
      </c>
      <c r="AL285">
        <v>3</v>
      </c>
      <c r="AM285">
        <v>2</v>
      </c>
      <c r="AN285">
        <v>1</v>
      </c>
      <c r="AO285" t="s">
        <v>705</v>
      </c>
      <c r="AP285">
        <v>42.965577000000003</v>
      </c>
      <c r="AQ285" t="s">
        <v>706</v>
      </c>
      <c r="AR285">
        <v>-77.571393999999998</v>
      </c>
      <c r="AS285">
        <v>25</v>
      </c>
      <c r="AT285">
        <v>2300</v>
      </c>
      <c r="AU285" t="s">
        <v>123</v>
      </c>
      <c r="AV285">
        <v>29</v>
      </c>
      <c r="AW285">
        <v>176</v>
      </c>
      <c r="AX285">
        <v>-128</v>
      </c>
      <c r="AZ285">
        <f t="shared" si="46"/>
        <v>841</v>
      </c>
      <c r="BA285">
        <f t="shared" si="47"/>
        <v>30976</v>
      </c>
      <c r="BB285" s="1">
        <f t="shared" si="48"/>
        <v>178.37320426566319</v>
      </c>
      <c r="BJ285">
        <v>1404</v>
      </c>
      <c r="BK285">
        <v>1</v>
      </c>
      <c r="BL285" t="str">
        <f t="shared" si="42"/>
        <v xml:space="preserve">N600C   </v>
      </c>
      <c r="BM285">
        <v>2</v>
      </c>
      <c r="BO285">
        <v>0</v>
      </c>
      <c r="BP285">
        <v>0</v>
      </c>
      <c r="BQ285">
        <v>0</v>
      </c>
      <c r="BR285">
        <v>2475</v>
      </c>
      <c r="BS285">
        <v>175</v>
      </c>
      <c r="BT285" t="s">
        <v>128</v>
      </c>
      <c r="BU285">
        <v>0</v>
      </c>
      <c r="BV285">
        <v>0</v>
      </c>
      <c r="BW285">
        <v>0</v>
      </c>
      <c r="BX285">
        <v>1</v>
      </c>
      <c r="CA285">
        <v>0</v>
      </c>
      <c r="CB285">
        <v>0</v>
      </c>
      <c r="CC285">
        <v>0</v>
      </c>
      <c r="CM285" t="str">
        <f>"17:45:27.269"</f>
        <v>17:45:27.269</v>
      </c>
      <c r="CN285">
        <v>268587847</v>
      </c>
      <c r="CQ285">
        <v>0</v>
      </c>
      <c r="CR285">
        <v>2496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3</v>
      </c>
      <c r="DB285">
        <v>2</v>
      </c>
      <c r="DC285">
        <v>0</v>
      </c>
      <c r="DD285">
        <v>2</v>
      </c>
      <c r="DE285">
        <v>0</v>
      </c>
      <c r="DF285">
        <v>7</v>
      </c>
      <c r="DG285">
        <v>7</v>
      </c>
      <c r="DH285" t="s">
        <v>124</v>
      </c>
      <c r="DI285">
        <v>71</v>
      </c>
      <c r="DJ285">
        <v>1</v>
      </c>
      <c r="DK285" t="s">
        <v>134</v>
      </c>
      <c r="DL285" t="s">
        <v>135</v>
      </c>
      <c r="DO285">
        <v>11484744</v>
      </c>
      <c r="DQ285">
        <v>0</v>
      </c>
      <c r="DR285">
        <v>0</v>
      </c>
      <c r="DS285">
        <v>1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</row>
    <row r="286" spans="1:131" x14ac:dyDescent="0.35">
      <c r="A286" s="2" t="str">
        <f>"17:45:28.428"</f>
        <v>17:45:28.428</v>
      </c>
      <c r="B286" s="4">
        <f t="shared" si="49"/>
        <v>63928.428</v>
      </c>
      <c r="C286" s="4">
        <f t="shared" si="43"/>
        <v>328.42799999999988</v>
      </c>
      <c r="D286" s="3">
        <f t="shared" si="44"/>
        <v>0.73991236111111114</v>
      </c>
      <c r="E286" s="2">
        <f t="shared" si="45"/>
        <v>0.73991236111111114</v>
      </c>
      <c r="G286" t="str">
        <f t="shared" si="40"/>
        <v>FFDFD7C0</v>
      </c>
      <c r="H286" t="s">
        <v>126</v>
      </c>
      <c r="I286">
        <v>8</v>
      </c>
      <c r="J286">
        <v>1008</v>
      </c>
      <c r="K286" t="s">
        <v>129</v>
      </c>
      <c r="N286" t="s">
        <v>127</v>
      </c>
      <c r="O286">
        <v>0</v>
      </c>
      <c r="P286">
        <v>3</v>
      </c>
      <c r="Q286">
        <v>0</v>
      </c>
      <c r="R286">
        <v>2</v>
      </c>
      <c r="S286">
        <v>1</v>
      </c>
      <c r="T286">
        <v>0</v>
      </c>
      <c r="U286">
        <v>0</v>
      </c>
      <c r="W286" t="str">
        <f>"17:45:28.102"</f>
        <v>17:45:28.102</v>
      </c>
      <c r="X286" t="str">
        <f>"17:45:27.902"</f>
        <v>17:45:27.902</v>
      </c>
      <c r="Y286" t="str">
        <f t="shared" si="41"/>
        <v>A7C771</v>
      </c>
      <c r="Z286">
        <v>0</v>
      </c>
      <c r="AA286">
        <v>0</v>
      </c>
      <c r="AB286">
        <v>2</v>
      </c>
      <c r="AC286">
        <v>0</v>
      </c>
      <c r="AE286">
        <v>0</v>
      </c>
      <c r="AF286">
        <v>8</v>
      </c>
      <c r="AG286">
        <v>3</v>
      </c>
      <c r="AH286">
        <v>0</v>
      </c>
      <c r="AI286">
        <v>9</v>
      </c>
      <c r="AJ286" t="s">
        <v>125</v>
      </c>
      <c r="AK286">
        <v>0</v>
      </c>
      <c r="AL286">
        <v>3</v>
      </c>
      <c r="AM286">
        <v>2</v>
      </c>
      <c r="AN286">
        <v>1</v>
      </c>
      <c r="AO286" t="s">
        <v>708</v>
      </c>
      <c r="AP286">
        <v>42.96622</v>
      </c>
      <c r="AQ286" t="s">
        <v>709</v>
      </c>
      <c r="AR286">
        <v>-77.571265999999994</v>
      </c>
      <c r="AS286">
        <v>25</v>
      </c>
      <c r="AT286">
        <v>2300</v>
      </c>
      <c r="AU286" t="s">
        <v>123</v>
      </c>
      <c r="AV286">
        <v>28</v>
      </c>
      <c r="AW286">
        <v>177</v>
      </c>
      <c r="AX286">
        <v>-256</v>
      </c>
      <c r="AZ286">
        <f t="shared" si="46"/>
        <v>784</v>
      </c>
      <c r="BA286">
        <f t="shared" si="47"/>
        <v>31329</v>
      </c>
      <c r="BB286" s="1">
        <f t="shared" si="48"/>
        <v>179.20100446147057</v>
      </c>
      <c r="BJ286">
        <v>1404</v>
      </c>
      <c r="BK286">
        <v>1</v>
      </c>
      <c r="BL286" t="str">
        <f t="shared" si="42"/>
        <v xml:space="preserve">N600C   </v>
      </c>
      <c r="BM286">
        <v>2</v>
      </c>
      <c r="BO286">
        <v>0</v>
      </c>
      <c r="BP286">
        <v>0</v>
      </c>
      <c r="BQ286">
        <v>0</v>
      </c>
      <c r="BR286">
        <v>2475</v>
      </c>
      <c r="BS286">
        <v>175</v>
      </c>
      <c r="BT286" t="s">
        <v>128</v>
      </c>
      <c r="BU286">
        <v>0</v>
      </c>
      <c r="BV286">
        <v>0</v>
      </c>
      <c r="BW286">
        <v>0</v>
      </c>
      <c r="BX286">
        <v>1</v>
      </c>
      <c r="CA286">
        <v>0</v>
      </c>
      <c r="CB286">
        <v>0</v>
      </c>
      <c r="CC286">
        <v>0</v>
      </c>
      <c r="CM286" t="str">
        <f>"17:45:28.109"</f>
        <v>17:45:28.109</v>
      </c>
      <c r="CN286">
        <v>108748828</v>
      </c>
      <c r="CQ286">
        <v>0</v>
      </c>
      <c r="CR286">
        <v>2496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3</v>
      </c>
      <c r="DB286">
        <v>2</v>
      </c>
      <c r="DC286">
        <v>0</v>
      </c>
      <c r="DD286">
        <v>2</v>
      </c>
      <c r="DE286">
        <v>0</v>
      </c>
      <c r="DF286">
        <v>7</v>
      </c>
      <c r="DG286">
        <v>7</v>
      </c>
      <c r="DH286" t="s">
        <v>124</v>
      </c>
      <c r="DI286">
        <v>407</v>
      </c>
      <c r="DJ286">
        <v>3</v>
      </c>
      <c r="DK286" t="s">
        <v>132</v>
      </c>
      <c r="DL286" t="s">
        <v>133</v>
      </c>
      <c r="DO286">
        <v>1543640</v>
      </c>
      <c r="DQ286">
        <v>0</v>
      </c>
      <c r="DR286">
        <v>0</v>
      </c>
      <c r="DS286">
        <v>1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</row>
    <row r="287" spans="1:131" x14ac:dyDescent="0.35">
      <c r="A287" s="2" t="str">
        <f>"17:45:29.428"</f>
        <v>17:45:29.428</v>
      </c>
      <c r="B287" s="4">
        <f t="shared" si="49"/>
        <v>63929.428</v>
      </c>
      <c r="C287" s="4">
        <f t="shared" si="43"/>
        <v>329.42799999999988</v>
      </c>
      <c r="D287" s="3">
        <f t="shared" si="44"/>
        <v>0.73992393518518518</v>
      </c>
      <c r="E287" s="2">
        <f t="shared" si="45"/>
        <v>0.73992393518518518</v>
      </c>
      <c r="G287" t="str">
        <f t="shared" si="40"/>
        <v>FFDFD7C0</v>
      </c>
      <c r="H287" t="s">
        <v>126</v>
      </c>
      <c r="I287">
        <v>8</v>
      </c>
      <c r="J287">
        <v>1008</v>
      </c>
      <c r="K287" t="s">
        <v>129</v>
      </c>
      <c r="N287" t="s">
        <v>127</v>
      </c>
      <c r="O287">
        <v>0</v>
      </c>
      <c r="P287">
        <v>3</v>
      </c>
      <c r="Q287">
        <v>0</v>
      </c>
      <c r="R287">
        <v>2</v>
      </c>
      <c r="S287">
        <v>1</v>
      </c>
      <c r="T287">
        <v>0</v>
      </c>
      <c r="U287">
        <v>0</v>
      </c>
      <c r="W287" t="str">
        <f>"17:45:29.203"</f>
        <v>17:45:29.203</v>
      </c>
      <c r="X287" t="str">
        <f>"17:45:29.003"</f>
        <v>17:45:29.003</v>
      </c>
      <c r="Y287" t="str">
        <f t="shared" si="41"/>
        <v>A7C771</v>
      </c>
      <c r="Z287">
        <v>0</v>
      </c>
      <c r="AA287">
        <v>0</v>
      </c>
      <c r="AB287">
        <v>2</v>
      </c>
      <c r="AC287">
        <v>0</v>
      </c>
      <c r="AE287">
        <v>0</v>
      </c>
      <c r="AF287">
        <v>8</v>
      </c>
      <c r="AG287">
        <v>3</v>
      </c>
      <c r="AH287">
        <v>0</v>
      </c>
      <c r="AI287">
        <v>9</v>
      </c>
      <c r="AJ287" t="s">
        <v>125</v>
      </c>
      <c r="AK287">
        <v>0</v>
      </c>
      <c r="AL287">
        <v>3</v>
      </c>
      <c r="AM287">
        <v>2</v>
      </c>
      <c r="AN287">
        <v>1</v>
      </c>
      <c r="AO287" t="s">
        <v>710</v>
      </c>
      <c r="AP287">
        <v>42.967122000000003</v>
      </c>
      <c r="AQ287" t="s">
        <v>711</v>
      </c>
      <c r="AR287">
        <v>-77.571072999999998</v>
      </c>
      <c r="AS287">
        <v>25</v>
      </c>
      <c r="AT287">
        <v>2300</v>
      </c>
      <c r="AU287" t="s">
        <v>123</v>
      </c>
      <c r="AV287">
        <v>28</v>
      </c>
      <c r="AW287">
        <v>177</v>
      </c>
      <c r="AX287">
        <v>-320</v>
      </c>
      <c r="AZ287">
        <f t="shared" si="46"/>
        <v>784</v>
      </c>
      <c r="BA287">
        <f t="shared" si="47"/>
        <v>31329</v>
      </c>
      <c r="BB287" s="1">
        <f t="shared" si="48"/>
        <v>179.20100446147057</v>
      </c>
      <c r="BJ287">
        <v>1404</v>
      </c>
      <c r="BK287">
        <v>1</v>
      </c>
      <c r="BL287" t="str">
        <f t="shared" si="42"/>
        <v xml:space="preserve">N600C   </v>
      </c>
      <c r="BM287">
        <v>2</v>
      </c>
      <c r="BO287">
        <v>0</v>
      </c>
      <c r="BP287">
        <v>0</v>
      </c>
      <c r="BQ287">
        <v>0</v>
      </c>
      <c r="BR287">
        <v>2475</v>
      </c>
      <c r="BS287">
        <v>175</v>
      </c>
      <c r="BT287" t="s">
        <v>128</v>
      </c>
      <c r="BU287">
        <v>0</v>
      </c>
      <c r="BV287">
        <v>0</v>
      </c>
      <c r="BW287">
        <v>0</v>
      </c>
      <c r="BX287">
        <v>1</v>
      </c>
      <c r="CA287">
        <v>0</v>
      </c>
      <c r="CB287">
        <v>0</v>
      </c>
      <c r="CC287">
        <v>0</v>
      </c>
      <c r="CM287" t="str">
        <f>"17:45:29.205"</f>
        <v>17:45:29.205</v>
      </c>
      <c r="CN287">
        <v>204947772</v>
      </c>
      <c r="CQ287">
        <v>0</v>
      </c>
      <c r="CR287">
        <v>2496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3</v>
      </c>
      <c r="DB287">
        <v>2</v>
      </c>
      <c r="DC287">
        <v>0</v>
      </c>
      <c r="DD287">
        <v>2</v>
      </c>
      <c r="DE287">
        <v>0</v>
      </c>
      <c r="DF287">
        <v>7</v>
      </c>
      <c r="DG287">
        <v>7</v>
      </c>
      <c r="DH287" t="s">
        <v>124</v>
      </c>
      <c r="DI287">
        <v>71</v>
      </c>
      <c r="DJ287">
        <v>0</v>
      </c>
      <c r="DK287" t="s">
        <v>134</v>
      </c>
      <c r="DL287" t="s">
        <v>135</v>
      </c>
      <c r="DO287">
        <v>10141690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</row>
    <row r="288" spans="1:131" x14ac:dyDescent="0.35">
      <c r="A288" s="2" t="str">
        <f>"17:45:30.537"</f>
        <v>17:45:30.537</v>
      </c>
      <c r="B288" s="4">
        <f t="shared" si="49"/>
        <v>63930.536999999997</v>
      </c>
      <c r="C288" s="4">
        <f t="shared" si="43"/>
        <v>330.53699999999662</v>
      </c>
      <c r="D288" s="3">
        <f t="shared" si="44"/>
        <v>0.73993677083333331</v>
      </c>
      <c r="E288" s="2">
        <f t="shared" si="45"/>
        <v>0.73993677083333331</v>
      </c>
      <c r="G288" t="str">
        <f t="shared" si="40"/>
        <v>FFDFD7C0</v>
      </c>
      <c r="H288" t="s">
        <v>126</v>
      </c>
      <c r="I288">
        <v>8</v>
      </c>
      <c r="J288">
        <v>1008</v>
      </c>
      <c r="K288" t="s">
        <v>129</v>
      </c>
      <c r="N288" t="s">
        <v>127</v>
      </c>
      <c r="O288">
        <v>0</v>
      </c>
      <c r="P288">
        <v>3</v>
      </c>
      <c r="Q288">
        <v>0</v>
      </c>
      <c r="R288">
        <v>2</v>
      </c>
      <c r="S288">
        <v>1</v>
      </c>
      <c r="T288">
        <v>0</v>
      </c>
      <c r="U288">
        <v>0</v>
      </c>
      <c r="W288" t="str">
        <f>"17:45:30.273"</f>
        <v>17:45:30.273</v>
      </c>
      <c r="X288" t="str">
        <f>"17:45:29.973"</f>
        <v>17:45:29.973</v>
      </c>
      <c r="Y288" t="str">
        <f t="shared" si="41"/>
        <v>A7C771</v>
      </c>
      <c r="Z288">
        <v>0</v>
      </c>
      <c r="AA288">
        <v>0</v>
      </c>
      <c r="AB288">
        <v>2</v>
      </c>
      <c r="AC288">
        <v>0</v>
      </c>
      <c r="AE288">
        <v>0</v>
      </c>
      <c r="AF288">
        <v>8</v>
      </c>
      <c r="AG288">
        <v>3</v>
      </c>
      <c r="AH288">
        <v>0</v>
      </c>
      <c r="AI288">
        <v>9</v>
      </c>
      <c r="AJ288" t="s">
        <v>125</v>
      </c>
      <c r="AK288">
        <v>0</v>
      </c>
      <c r="AL288">
        <v>3</v>
      </c>
      <c r="AM288">
        <v>2</v>
      </c>
      <c r="AN288">
        <v>1</v>
      </c>
      <c r="AO288" t="s">
        <v>712</v>
      </c>
      <c r="AP288">
        <v>42.968043999999999</v>
      </c>
      <c r="AQ288" t="s">
        <v>713</v>
      </c>
      <c r="AR288">
        <v>-77.570858000000001</v>
      </c>
      <c r="AS288">
        <v>25</v>
      </c>
      <c r="AT288">
        <v>2275</v>
      </c>
      <c r="AU288" t="s">
        <v>123</v>
      </c>
      <c r="AV288">
        <v>28</v>
      </c>
      <c r="AW288">
        <v>176</v>
      </c>
      <c r="AX288">
        <v>-256</v>
      </c>
      <c r="AZ288">
        <f t="shared" si="46"/>
        <v>784</v>
      </c>
      <c r="BA288">
        <f t="shared" si="47"/>
        <v>30976</v>
      </c>
      <c r="BB288" s="1">
        <f t="shared" si="48"/>
        <v>178.2133552795637</v>
      </c>
      <c r="BJ288">
        <v>1404</v>
      </c>
      <c r="BK288">
        <v>1</v>
      </c>
      <c r="BL288" t="str">
        <f t="shared" si="42"/>
        <v xml:space="preserve">N600C   </v>
      </c>
      <c r="BM288">
        <v>2</v>
      </c>
      <c r="BO288">
        <v>0</v>
      </c>
      <c r="BP288">
        <v>0</v>
      </c>
      <c r="BQ288">
        <v>0</v>
      </c>
      <c r="BR288">
        <v>2450</v>
      </c>
      <c r="BS288">
        <v>175</v>
      </c>
      <c r="BT288" t="s">
        <v>128</v>
      </c>
      <c r="BU288">
        <v>0</v>
      </c>
      <c r="BV288">
        <v>0</v>
      </c>
      <c r="BW288">
        <v>0</v>
      </c>
      <c r="BX288">
        <v>1</v>
      </c>
      <c r="CA288">
        <v>0</v>
      </c>
      <c r="CB288">
        <v>0</v>
      </c>
      <c r="CC288">
        <v>0</v>
      </c>
      <c r="CM288" t="str">
        <f>"17:45:30.277"</f>
        <v>17:45:30.277</v>
      </c>
      <c r="CN288">
        <v>277147236</v>
      </c>
      <c r="CQ288">
        <v>0</v>
      </c>
      <c r="CR288">
        <v>2496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3</v>
      </c>
      <c r="DB288">
        <v>2</v>
      </c>
      <c r="DC288">
        <v>0</v>
      </c>
      <c r="DD288">
        <v>2</v>
      </c>
      <c r="DE288">
        <v>0</v>
      </c>
      <c r="DF288">
        <v>7</v>
      </c>
      <c r="DG288">
        <v>7</v>
      </c>
      <c r="DH288" t="s">
        <v>124</v>
      </c>
      <c r="DI288">
        <v>71</v>
      </c>
      <c r="DJ288">
        <v>0</v>
      </c>
      <c r="DK288" t="s">
        <v>134</v>
      </c>
      <c r="DL288" t="s">
        <v>135</v>
      </c>
      <c r="DO288">
        <v>10142443</v>
      </c>
      <c r="DQ288">
        <v>0</v>
      </c>
      <c r="DR288">
        <v>0</v>
      </c>
      <c r="DS288">
        <v>1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</row>
    <row r="289" spans="1:131" x14ac:dyDescent="0.35">
      <c r="A289" s="2" t="str">
        <f>"17:45:31.459"</f>
        <v>17:45:31.459</v>
      </c>
      <c r="B289" s="4">
        <f t="shared" si="49"/>
        <v>63931.45900000001</v>
      </c>
      <c r="C289" s="4">
        <f t="shared" si="43"/>
        <v>331.45900000000984</v>
      </c>
      <c r="D289" s="3">
        <f t="shared" si="44"/>
        <v>0.73994744212962971</v>
      </c>
      <c r="E289" s="2">
        <f t="shared" si="45"/>
        <v>0.73994744212962971</v>
      </c>
      <c r="G289" t="str">
        <f t="shared" si="40"/>
        <v>FFDFD7C0</v>
      </c>
      <c r="H289" t="s">
        <v>126</v>
      </c>
      <c r="I289">
        <v>8</v>
      </c>
      <c r="J289">
        <v>1008</v>
      </c>
      <c r="K289" t="s">
        <v>129</v>
      </c>
      <c r="N289" t="s">
        <v>127</v>
      </c>
      <c r="O289">
        <v>0</v>
      </c>
      <c r="P289">
        <v>3</v>
      </c>
      <c r="Q289">
        <v>0</v>
      </c>
      <c r="R289">
        <v>2</v>
      </c>
      <c r="S289">
        <v>1</v>
      </c>
      <c r="T289">
        <v>0</v>
      </c>
      <c r="U289">
        <v>0</v>
      </c>
      <c r="W289" t="str">
        <f>"17:45:31.180"</f>
        <v>17:45:31.180</v>
      </c>
      <c r="X289" t="str">
        <f>"17:45:30.880"</f>
        <v>17:45:30.880</v>
      </c>
      <c r="Y289" t="str">
        <f t="shared" si="41"/>
        <v>A7C771</v>
      </c>
      <c r="Z289">
        <v>0</v>
      </c>
      <c r="AA289">
        <v>0</v>
      </c>
      <c r="AB289">
        <v>2</v>
      </c>
      <c r="AC289">
        <v>0</v>
      </c>
      <c r="AE289">
        <v>0</v>
      </c>
      <c r="AF289">
        <v>8</v>
      </c>
      <c r="AG289">
        <v>3</v>
      </c>
      <c r="AH289">
        <v>0</v>
      </c>
      <c r="AI289">
        <v>9</v>
      </c>
      <c r="AJ289" t="s">
        <v>125</v>
      </c>
      <c r="AK289">
        <v>0</v>
      </c>
      <c r="AL289">
        <v>3</v>
      </c>
      <c r="AM289">
        <v>2</v>
      </c>
      <c r="AN289">
        <v>1</v>
      </c>
      <c r="AO289" t="s">
        <v>714</v>
      </c>
      <c r="AP289">
        <v>42.968774000000003</v>
      </c>
      <c r="AQ289" t="s">
        <v>715</v>
      </c>
      <c r="AR289">
        <v>-77.570685999999995</v>
      </c>
      <c r="AS289">
        <v>25</v>
      </c>
      <c r="AT289">
        <v>2275</v>
      </c>
      <c r="AU289" t="s">
        <v>123</v>
      </c>
      <c r="AV289">
        <v>29</v>
      </c>
      <c r="AW289">
        <v>176</v>
      </c>
      <c r="AX289">
        <v>-256</v>
      </c>
      <c r="AZ289">
        <f t="shared" si="46"/>
        <v>841</v>
      </c>
      <c r="BA289">
        <f t="shared" si="47"/>
        <v>30976</v>
      </c>
      <c r="BB289" s="1">
        <f t="shared" si="48"/>
        <v>178.37320426566319</v>
      </c>
      <c r="BJ289">
        <v>1404</v>
      </c>
      <c r="BK289">
        <v>1</v>
      </c>
      <c r="BL289" t="str">
        <f t="shared" si="42"/>
        <v xml:space="preserve">N600C   </v>
      </c>
      <c r="BM289">
        <v>2</v>
      </c>
      <c r="BO289">
        <v>0</v>
      </c>
      <c r="BP289">
        <v>0</v>
      </c>
      <c r="BQ289">
        <v>0</v>
      </c>
      <c r="BR289">
        <v>2450</v>
      </c>
      <c r="BS289">
        <v>175</v>
      </c>
      <c r="BT289" t="s">
        <v>128</v>
      </c>
      <c r="BU289">
        <v>0</v>
      </c>
      <c r="BV289">
        <v>0</v>
      </c>
      <c r="BW289">
        <v>0</v>
      </c>
      <c r="BX289">
        <v>1</v>
      </c>
      <c r="CA289">
        <v>0</v>
      </c>
      <c r="CB289">
        <v>0</v>
      </c>
      <c r="CC289">
        <v>0</v>
      </c>
      <c r="CM289" t="str">
        <f>"17:45:31.181"</f>
        <v>17:45:31.181</v>
      </c>
      <c r="CN289">
        <v>181321195</v>
      </c>
      <c r="CQ289">
        <v>0</v>
      </c>
      <c r="CR289">
        <v>2496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3</v>
      </c>
      <c r="DB289">
        <v>2</v>
      </c>
      <c r="DC289">
        <v>0</v>
      </c>
      <c r="DD289">
        <v>2</v>
      </c>
      <c r="DE289">
        <v>0</v>
      </c>
      <c r="DF289">
        <v>7</v>
      </c>
      <c r="DG289">
        <v>7</v>
      </c>
      <c r="DH289" t="s">
        <v>124</v>
      </c>
      <c r="DI289">
        <v>407</v>
      </c>
      <c r="DJ289">
        <v>3</v>
      </c>
      <c r="DK289" t="s">
        <v>132</v>
      </c>
      <c r="DL289" t="s">
        <v>133</v>
      </c>
      <c r="DO289">
        <v>1546672</v>
      </c>
      <c r="DQ289">
        <v>0</v>
      </c>
      <c r="DR289">
        <v>0</v>
      </c>
      <c r="DS289">
        <v>1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</row>
    <row r="290" spans="1:131" x14ac:dyDescent="0.35">
      <c r="A290" s="2" t="str">
        <f>"17:45:32.522"</f>
        <v>17:45:32.522</v>
      </c>
      <c r="B290" s="4">
        <f t="shared" si="49"/>
        <v>63932.521999999997</v>
      </c>
      <c r="C290" s="4">
        <f t="shared" si="43"/>
        <v>332.52199999999721</v>
      </c>
      <c r="D290" s="3">
        <f t="shared" si="44"/>
        <v>0.73995974537037035</v>
      </c>
      <c r="E290" s="2">
        <f t="shared" si="45"/>
        <v>0.73995974537037035</v>
      </c>
      <c r="G290" t="str">
        <f t="shared" si="40"/>
        <v>FFDFD7C0</v>
      </c>
      <c r="H290" t="s">
        <v>126</v>
      </c>
      <c r="I290">
        <v>8</v>
      </c>
      <c r="J290">
        <v>1008</v>
      </c>
      <c r="K290" t="s">
        <v>129</v>
      </c>
      <c r="N290" t="s">
        <v>127</v>
      </c>
      <c r="O290">
        <v>0</v>
      </c>
      <c r="P290">
        <v>3</v>
      </c>
      <c r="Q290">
        <v>0</v>
      </c>
      <c r="R290">
        <v>2</v>
      </c>
      <c r="S290">
        <v>1</v>
      </c>
      <c r="T290">
        <v>0</v>
      </c>
      <c r="U290">
        <v>0</v>
      </c>
      <c r="W290" t="str">
        <f>"17:45:32.289"</f>
        <v>17:45:32.289</v>
      </c>
      <c r="X290" t="str">
        <f>"17:45:32.189"</f>
        <v>17:45:32.189</v>
      </c>
      <c r="Y290" t="str">
        <f t="shared" si="41"/>
        <v>A7C771</v>
      </c>
      <c r="Z290">
        <v>0</v>
      </c>
      <c r="AA290">
        <v>0</v>
      </c>
      <c r="AB290">
        <v>2</v>
      </c>
      <c r="AC290">
        <v>0</v>
      </c>
      <c r="AE290">
        <v>0</v>
      </c>
      <c r="AF290">
        <v>8</v>
      </c>
      <c r="AG290">
        <v>3</v>
      </c>
      <c r="AH290">
        <v>0</v>
      </c>
      <c r="AI290">
        <v>9</v>
      </c>
      <c r="AJ290" t="s">
        <v>125</v>
      </c>
      <c r="AK290">
        <v>0</v>
      </c>
      <c r="AL290">
        <v>3</v>
      </c>
      <c r="AM290">
        <v>2</v>
      </c>
      <c r="AN290">
        <v>1</v>
      </c>
      <c r="AO290" t="s">
        <v>716</v>
      </c>
      <c r="AP290">
        <v>42.969675000000002</v>
      </c>
      <c r="AQ290" t="s">
        <v>717</v>
      </c>
      <c r="AR290">
        <v>-77.570471999999995</v>
      </c>
      <c r="AS290">
        <v>25</v>
      </c>
      <c r="AT290">
        <v>2275</v>
      </c>
      <c r="AU290" t="s">
        <v>123</v>
      </c>
      <c r="AV290">
        <v>30</v>
      </c>
      <c r="AW290">
        <v>176</v>
      </c>
      <c r="AX290">
        <v>-384</v>
      </c>
      <c r="AZ290">
        <f t="shared" si="46"/>
        <v>900</v>
      </c>
      <c r="BA290">
        <f t="shared" si="47"/>
        <v>30976</v>
      </c>
      <c r="BB290" s="1">
        <f t="shared" si="48"/>
        <v>178.53851125177448</v>
      </c>
      <c r="BJ290">
        <v>1404</v>
      </c>
      <c r="BK290">
        <v>1</v>
      </c>
      <c r="BL290" t="str">
        <f t="shared" si="42"/>
        <v xml:space="preserve">N600C   </v>
      </c>
      <c r="BM290">
        <v>2</v>
      </c>
      <c r="BO290">
        <v>0</v>
      </c>
      <c r="BP290">
        <v>0</v>
      </c>
      <c r="BQ290">
        <v>0</v>
      </c>
      <c r="BR290">
        <v>2450</v>
      </c>
      <c r="BS290">
        <v>175</v>
      </c>
      <c r="BT290" t="s">
        <v>128</v>
      </c>
      <c r="BU290">
        <v>0</v>
      </c>
      <c r="BV290">
        <v>0</v>
      </c>
      <c r="BW290">
        <v>0</v>
      </c>
      <c r="BX290">
        <v>1</v>
      </c>
      <c r="CA290">
        <v>0</v>
      </c>
      <c r="CB290">
        <v>0</v>
      </c>
      <c r="CC290">
        <v>0</v>
      </c>
      <c r="CM290" t="str">
        <f>"17:45:32.294"</f>
        <v>17:45:32.294</v>
      </c>
      <c r="CN290">
        <v>293517912</v>
      </c>
      <c r="CQ290">
        <v>0</v>
      </c>
      <c r="CR290">
        <v>2496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3</v>
      </c>
      <c r="DB290">
        <v>2</v>
      </c>
      <c r="DC290">
        <v>0</v>
      </c>
      <c r="DD290">
        <v>2</v>
      </c>
      <c r="DE290">
        <v>0</v>
      </c>
      <c r="DF290">
        <v>7</v>
      </c>
      <c r="DG290">
        <v>7</v>
      </c>
      <c r="DH290" t="s">
        <v>124</v>
      </c>
      <c r="DI290">
        <v>71</v>
      </c>
      <c r="DJ290">
        <v>0</v>
      </c>
      <c r="DK290" t="s">
        <v>134</v>
      </c>
      <c r="DL290" t="s">
        <v>135</v>
      </c>
      <c r="DO290">
        <v>10143881</v>
      </c>
      <c r="DQ290">
        <v>0</v>
      </c>
      <c r="DR290">
        <v>0</v>
      </c>
      <c r="DS290">
        <v>1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</row>
    <row r="291" spans="1:131" x14ac:dyDescent="0.35">
      <c r="A291" s="2" t="str">
        <f>"17:45:33.601"</f>
        <v>17:45:33.601</v>
      </c>
      <c r="B291" s="4">
        <f t="shared" si="49"/>
        <v>63933.601000000002</v>
      </c>
      <c r="C291" s="4">
        <f t="shared" si="43"/>
        <v>333.60100000000239</v>
      </c>
      <c r="D291" s="3">
        <f t="shared" si="44"/>
        <v>0.73997223379629629</v>
      </c>
      <c r="E291" s="2">
        <f t="shared" si="45"/>
        <v>0.73997223379629629</v>
      </c>
      <c r="G291" t="str">
        <f t="shared" si="40"/>
        <v>FFDFD7C0</v>
      </c>
      <c r="H291" t="s">
        <v>126</v>
      </c>
      <c r="I291">
        <v>8</v>
      </c>
      <c r="J291">
        <v>1008</v>
      </c>
      <c r="K291" t="s">
        <v>129</v>
      </c>
      <c r="N291" t="s">
        <v>127</v>
      </c>
      <c r="O291">
        <v>0</v>
      </c>
      <c r="P291">
        <v>3</v>
      </c>
      <c r="Q291">
        <v>0</v>
      </c>
      <c r="R291">
        <v>2</v>
      </c>
      <c r="S291">
        <v>1</v>
      </c>
      <c r="T291">
        <v>0</v>
      </c>
      <c r="U291">
        <v>0</v>
      </c>
      <c r="W291" t="str">
        <f>"17:45:33.305"</f>
        <v>17:45:33.305</v>
      </c>
      <c r="X291" t="str">
        <f>"17:45:33.105"</f>
        <v>17:45:33.105</v>
      </c>
      <c r="Y291" t="str">
        <f t="shared" si="41"/>
        <v>A7C771</v>
      </c>
      <c r="Z291">
        <v>0</v>
      </c>
      <c r="AA291">
        <v>0</v>
      </c>
      <c r="AB291">
        <v>2</v>
      </c>
      <c r="AC291">
        <v>0</v>
      </c>
      <c r="AE291">
        <v>0</v>
      </c>
      <c r="AF291">
        <v>8</v>
      </c>
      <c r="AG291">
        <v>3</v>
      </c>
      <c r="AH291">
        <v>0</v>
      </c>
      <c r="AI291">
        <v>9</v>
      </c>
      <c r="AJ291" t="s">
        <v>125</v>
      </c>
      <c r="AK291">
        <v>0</v>
      </c>
      <c r="AL291">
        <v>3</v>
      </c>
      <c r="AM291">
        <v>2</v>
      </c>
      <c r="AN291">
        <v>1</v>
      </c>
      <c r="AO291" t="s">
        <v>718</v>
      </c>
      <c r="AP291">
        <v>42.970469000000001</v>
      </c>
      <c r="AQ291" t="s">
        <v>719</v>
      </c>
      <c r="AR291">
        <v>-77.570278999999999</v>
      </c>
      <c r="AS291">
        <v>25</v>
      </c>
      <c r="AT291">
        <v>2275</v>
      </c>
      <c r="AU291" t="s">
        <v>123</v>
      </c>
      <c r="AV291">
        <v>31</v>
      </c>
      <c r="AW291">
        <v>176</v>
      </c>
      <c r="AX291">
        <v>-384</v>
      </c>
      <c r="AZ291">
        <f t="shared" si="46"/>
        <v>961</v>
      </c>
      <c r="BA291">
        <f t="shared" si="47"/>
        <v>30976</v>
      </c>
      <c r="BB291" s="1">
        <f t="shared" si="48"/>
        <v>178.70926109186397</v>
      </c>
      <c r="BJ291">
        <v>1404</v>
      </c>
      <c r="BK291">
        <v>1</v>
      </c>
      <c r="BL291" t="str">
        <f t="shared" si="42"/>
        <v xml:space="preserve">N600C   </v>
      </c>
      <c r="BM291">
        <v>2</v>
      </c>
      <c r="BO291">
        <v>0</v>
      </c>
      <c r="BP291">
        <v>0</v>
      </c>
      <c r="BQ291">
        <v>0</v>
      </c>
      <c r="BR291">
        <v>2450</v>
      </c>
      <c r="BS291">
        <v>175</v>
      </c>
      <c r="BT291" t="s">
        <v>128</v>
      </c>
      <c r="BU291">
        <v>0</v>
      </c>
      <c r="BV291">
        <v>0</v>
      </c>
      <c r="BW291">
        <v>0</v>
      </c>
      <c r="BX291">
        <v>1</v>
      </c>
      <c r="CA291">
        <v>0</v>
      </c>
      <c r="CB291">
        <v>0</v>
      </c>
      <c r="CC291">
        <v>0</v>
      </c>
      <c r="CM291" t="str">
        <f>"17:45:33.310"</f>
        <v>17:45:33.310</v>
      </c>
      <c r="CN291">
        <v>309718003</v>
      </c>
      <c r="CQ291">
        <v>0</v>
      </c>
      <c r="CR291">
        <v>2496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3</v>
      </c>
      <c r="DB291">
        <v>2</v>
      </c>
      <c r="DC291">
        <v>0</v>
      </c>
      <c r="DD291">
        <v>2</v>
      </c>
      <c r="DE291">
        <v>0</v>
      </c>
      <c r="DF291">
        <v>7</v>
      </c>
      <c r="DG291">
        <v>7</v>
      </c>
      <c r="DH291" t="s">
        <v>124</v>
      </c>
      <c r="DI291">
        <v>407</v>
      </c>
      <c r="DJ291">
        <v>3</v>
      </c>
      <c r="DK291" t="s">
        <v>132</v>
      </c>
      <c r="DL291" t="s">
        <v>133</v>
      </c>
      <c r="DO291">
        <v>1548801</v>
      </c>
      <c r="DQ291">
        <v>0</v>
      </c>
      <c r="DR291">
        <v>0</v>
      </c>
      <c r="DS291">
        <v>1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</row>
    <row r="292" spans="1:131" x14ac:dyDescent="0.35">
      <c r="A292" s="2" t="str">
        <f>"17:45:34.662"</f>
        <v>17:45:34.662</v>
      </c>
      <c r="B292" s="4">
        <f t="shared" si="49"/>
        <v>63934.661999999997</v>
      </c>
      <c r="C292" s="4">
        <f t="shared" si="43"/>
        <v>334.66199999999662</v>
      </c>
      <c r="D292" s="3">
        <f t="shared" si="44"/>
        <v>0.73998451388888886</v>
      </c>
      <c r="E292" s="2">
        <f t="shared" si="45"/>
        <v>0.73998451388888886</v>
      </c>
      <c r="G292" t="str">
        <f t="shared" si="40"/>
        <v>FFDFD7C0</v>
      </c>
      <c r="H292" t="s">
        <v>126</v>
      </c>
      <c r="I292">
        <v>8</v>
      </c>
      <c r="J292">
        <v>1008</v>
      </c>
      <c r="K292" t="s">
        <v>129</v>
      </c>
      <c r="N292" t="s">
        <v>127</v>
      </c>
      <c r="O292">
        <v>0</v>
      </c>
      <c r="P292">
        <v>3</v>
      </c>
      <c r="Q292">
        <v>0</v>
      </c>
      <c r="R292">
        <v>2</v>
      </c>
      <c r="S292">
        <v>1</v>
      </c>
      <c r="T292">
        <v>0</v>
      </c>
      <c r="U292">
        <v>0</v>
      </c>
      <c r="W292" t="str">
        <f>"17:45:34.297"</f>
        <v>17:45:34.297</v>
      </c>
      <c r="X292" t="str">
        <f>"17:45:34.197"</f>
        <v>17:45:34.197</v>
      </c>
      <c r="Y292" t="str">
        <f t="shared" si="41"/>
        <v>A7C771</v>
      </c>
      <c r="Z292">
        <v>0</v>
      </c>
      <c r="AA292">
        <v>0</v>
      </c>
      <c r="AB292">
        <v>2</v>
      </c>
      <c r="AC292">
        <v>0</v>
      </c>
      <c r="AE292">
        <v>0</v>
      </c>
      <c r="AF292">
        <v>8</v>
      </c>
      <c r="AG292">
        <v>3</v>
      </c>
      <c r="AH292">
        <v>0</v>
      </c>
      <c r="AI292">
        <v>9</v>
      </c>
      <c r="AJ292" t="s">
        <v>125</v>
      </c>
      <c r="AK292">
        <v>0</v>
      </c>
      <c r="AL292">
        <v>3</v>
      </c>
      <c r="AM292">
        <v>2</v>
      </c>
      <c r="AN292">
        <v>1</v>
      </c>
      <c r="AO292" t="s">
        <v>720</v>
      </c>
      <c r="AP292">
        <v>42.971305999999998</v>
      </c>
      <c r="AQ292" t="s">
        <v>721</v>
      </c>
      <c r="AR292">
        <v>-77.570086000000003</v>
      </c>
      <c r="AS292">
        <v>25</v>
      </c>
      <c r="AT292">
        <v>2250</v>
      </c>
      <c r="AU292" t="s">
        <v>123</v>
      </c>
      <c r="AV292">
        <v>31</v>
      </c>
      <c r="AW292">
        <v>176</v>
      </c>
      <c r="AX292">
        <v>-512</v>
      </c>
      <c r="AZ292">
        <f t="shared" si="46"/>
        <v>961</v>
      </c>
      <c r="BA292">
        <f t="shared" si="47"/>
        <v>30976</v>
      </c>
      <c r="BB292" s="1">
        <f t="shared" si="48"/>
        <v>178.70926109186397</v>
      </c>
      <c r="BJ292">
        <v>1404</v>
      </c>
      <c r="BK292">
        <v>1</v>
      </c>
      <c r="BL292" t="str">
        <f t="shared" si="42"/>
        <v xml:space="preserve">N600C   </v>
      </c>
      <c r="BM292">
        <v>2</v>
      </c>
      <c r="BO292">
        <v>0</v>
      </c>
      <c r="BP292">
        <v>0</v>
      </c>
      <c r="BQ292">
        <v>0</v>
      </c>
      <c r="BR292">
        <v>2425</v>
      </c>
      <c r="BS292">
        <v>175</v>
      </c>
      <c r="BT292" t="s">
        <v>128</v>
      </c>
      <c r="BU292">
        <v>0</v>
      </c>
      <c r="BV292">
        <v>0</v>
      </c>
      <c r="BW292">
        <v>0</v>
      </c>
      <c r="BX292">
        <v>1</v>
      </c>
      <c r="CA292">
        <v>0</v>
      </c>
      <c r="CB292">
        <v>0</v>
      </c>
      <c r="CC292">
        <v>0</v>
      </c>
      <c r="CM292" t="str">
        <f>"17:45:34.302"</f>
        <v>17:45:34.302</v>
      </c>
      <c r="CN292">
        <v>301888326</v>
      </c>
      <c r="CQ292">
        <v>0</v>
      </c>
      <c r="CR292">
        <v>2496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3</v>
      </c>
      <c r="DB292">
        <v>2</v>
      </c>
      <c r="DC292">
        <v>0</v>
      </c>
      <c r="DD292">
        <v>2</v>
      </c>
      <c r="DE292">
        <v>0</v>
      </c>
      <c r="DF292">
        <v>7</v>
      </c>
      <c r="DG292">
        <v>7</v>
      </c>
      <c r="DH292" t="s">
        <v>124</v>
      </c>
      <c r="DI292">
        <v>71</v>
      </c>
      <c r="DJ292">
        <v>1</v>
      </c>
      <c r="DK292" t="s">
        <v>134</v>
      </c>
      <c r="DL292" t="s">
        <v>135</v>
      </c>
      <c r="DO292">
        <v>11490780</v>
      </c>
      <c r="DQ292">
        <v>0</v>
      </c>
      <c r="DR292">
        <v>0</v>
      </c>
      <c r="DS292">
        <v>1</v>
      </c>
      <c r="DT292">
        <v>0</v>
      </c>
      <c r="DU292">
        <v>0</v>
      </c>
      <c r="DV292">
        <v>1</v>
      </c>
      <c r="DW292">
        <v>0</v>
      </c>
      <c r="DX292">
        <v>0</v>
      </c>
      <c r="DY292">
        <v>0</v>
      </c>
      <c r="DZ292">
        <v>0</v>
      </c>
      <c r="EA292">
        <v>0</v>
      </c>
    </row>
    <row r="293" spans="1:131" x14ac:dyDescent="0.35">
      <c r="A293" s="2" t="str">
        <f>"17:45:35.428"</f>
        <v>17:45:35.428</v>
      </c>
      <c r="B293" s="4">
        <f t="shared" si="49"/>
        <v>63935.428</v>
      </c>
      <c r="C293" s="4">
        <f t="shared" si="43"/>
        <v>335.42799999999988</v>
      </c>
      <c r="D293" s="3">
        <f t="shared" si="44"/>
        <v>0.73999337962962963</v>
      </c>
      <c r="E293" s="2">
        <f t="shared" si="45"/>
        <v>0.73999337962962963</v>
      </c>
      <c r="G293" t="str">
        <f t="shared" si="40"/>
        <v>FFDFD7C0</v>
      </c>
      <c r="H293" t="s">
        <v>126</v>
      </c>
      <c r="I293">
        <v>8</v>
      </c>
      <c r="J293">
        <v>1008</v>
      </c>
      <c r="K293" t="s">
        <v>129</v>
      </c>
      <c r="N293" t="s">
        <v>127</v>
      </c>
      <c r="O293">
        <v>0</v>
      </c>
      <c r="P293">
        <v>3</v>
      </c>
      <c r="Q293">
        <v>0</v>
      </c>
      <c r="R293">
        <v>2</v>
      </c>
      <c r="S293">
        <v>1</v>
      </c>
      <c r="T293">
        <v>0</v>
      </c>
      <c r="U293">
        <v>0</v>
      </c>
      <c r="W293" t="str">
        <f>"17:45:35.242"</f>
        <v>17:45:35.242</v>
      </c>
      <c r="X293" t="str">
        <f>"17:45:35.242"</f>
        <v>17:45:35.242</v>
      </c>
      <c r="Y293" t="str">
        <f t="shared" si="41"/>
        <v>A7C771</v>
      </c>
      <c r="Z293">
        <v>0</v>
      </c>
      <c r="AA293">
        <v>0</v>
      </c>
      <c r="AB293">
        <v>2</v>
      </c>
      <c r="AC293">
        <v>0</v>
      </c>
      <c r="AE293">
        <v>0</v>
      </c>
      <c r="AF293">
        <v>8</v>
      </c>
      <c r="AG293">
        <v>3</v>
      </c>
      <c r="AH293">
        <v>0</v>
      </c>
      <c r="AI293">
        <v>9</v>
      </c>
      <c r="AJ293" t="s">
        <v>125</v>
      </c>
      <c r="AK293">
        <v>0</v>
      </c>
      <c r="AL293">
        <v>3</v>
      </c>
      <c r="AM293">
        <v>2</v>
      </c>
      <c r="AN293">
        <v>1</v>
      </c>
      <c r="AO293" t="s">
        <v>722</v>
      </c>
      <c r="AP293">
        <v>42.972099999999998</v>
      </c>
      <c r="AQ293" t="s">
        <v>723</v>
      </c>
      <c r="AR293">
        <v>-77.569891999999996</v>
      </c>
      <c r="AS293">
        <v>25</v>
      </c>
      <c r="AT293">
        <v>2250</v>
      </c>
      <c r="AU293" t="s">
        <v>123</v>
      </c>
      <c r="AV293">
        <v>31</v>
      </c>
      <c r="AW293">
        <v>176</v>
      </c>
      <c r="AX293">
        <v>-512</v>
      </c>
      <c r="AZ293">
        <f t="shared" si="46"/>
        <v>961</v>
      </c>
      <c r="BA293">
        <f t="shared" si="47"/>
        <v>30976</v>
      </c>
      <c r="BB293" s="1">
        <f t="shared" si="48"/>
        <v>178.70926109186397</v>
      </c>
      <c r="BJ293">
        <v>1404</v>
      </c>
      <c r="BK293">
        <v>1</v>
      </c>
      <c r="BL293" t="str">
        <f t="shared" si="42"/>
        <v xml:space="preserve">N600C   </v>
      </c>
      <c r="BM293">
        <v>2</v>
      </c>
      <c r="BO293">
        <v>0</v>
      </c>
      <c r="BP293">
        <v>0</v>
      </c>
      <c r="BQ293">
        <v>0</v>
      </c>
      <c r="BR293">
        <v>2425</v>
      </c>
      <c r="BS293">
        <v>175</v>
      </c>
      <c r="BT293" t="s">
        <v>128</v>
      </c>
      <c r="BU293">
        <v>0</v>
      </c>
      <c r="BV293">
        <v>0</v>
      </c>
      <c r="BW293">
        <v>0</v>
      </c>
      <c r="BX293">
        <v>1</v>
      </c>
      <c r="CA293">
        <v>0</v>
      </c>
      <c r="CB293">
        <v>0</v>
      </c>
      <c r="CC293">
        <v>0</v>
      </c>
      <c r="CM293" t="str">
        <f>"17:45:35.246"</f>
        <v>17:45:35.246</v>
      </c>
      <c r="CN293">
        <v>246067547</v>
      </c>
      <c r="CQ293">
        <v>0</v>
      </c>
      <c r="CR293">
        <v>2496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3</v>
      </c>
      <c r="DB293">
        <v>2</v>
      </c>
      <c r="DC293">
        <v>0</v>
      </c>
      <c r="DD293">
        <v>2</v>
      </c>
      <c r="DE293">
        <v>0</v>
      </c>
      <c r="DF293">
        <v>7</v>
      </c>
      <c r="DG293">
        <v>7</v>
      </c>
      <c r="DH293" t="s">
        <v>124</v>
      </c>
      <c r="DI293">
        <v>71</v>
      </c>
      <c r="DJ293">
        <v>1</v>
      </c>
      <c r="DK293" t="s">
        <v>134</v>
      </c>
      <c r="DL293" t="s">
        <v>135</v>
      </c>
      <c r="DO293">
        <v>11491647</v>
      </c>
      <c r="DQ293">
        <v>0</v>
      </c>
      <c r="DR293">
        <v>0</v>
      </c>
      <c r="DS293">
        <v>1</v>
      </c>
      <c r="DT293">
        <v>0</v>
      </c>
      <c r="DU293">
        <v>0</v>
      </c>
      <c r="DV293">
        <v>1</v>
      </c>
      <c r="DW293">
        <v>0</v>
      </c>
      <c r="DX293">
        <v>0</v>
      </c>
      <c r="DY293">
        <v>0</v>
      </c>
      <c r="DZ293">
        <v>0</v>
      </c>
      <c r="EA293">
        <v>0</v>
      </c>
    </row>
    <row r="294" spans="1:131" x14ac:dyDescent="0.35">
      <c r="A294" s="2" t="str">
        <f>"17:45:36.381"</f>
        <v>17:45:36.381</v>
      </c>
      <c r="B294" s="4">
        <f t="shared" si="49"/>
        <v>63936.381000000001</v>
      </c>
      <c r="C294" s="4">
        <f t="shared" si="43"/>
        <v>336.38100000000122</v>
      </c>
      <c r="D294" s="3">
        <f t="shared" si="44"/>
        <v>0.74000440972222226</v>
      </c>
      <c r="E294" s="2">
        <f t="shared" si="45"/>
        <v>0.74000440972222226</v>
      </c>
      <c r="G294" t="str">
        <f t="shared" si="40"/>
        <v>FFDFD7C0</v>
      </c>
      <c r="H294" t="s">
        <v>126</v>
      </c>
      <c r="I294">
        <v>8</v>
      </c>
      <c r="J294">
        <v>1008</v>
      </c>
      <c r="K294" t="s">
        <v>129</v>
      </c>
      <c r="N294" t="s">
        <v>127</v>
      </c>
      <c r="O294">
        <v>0</v>
      </c>
      <c r="P294">
        <v>3</v>
      </c>
      <c r="Q294">
        <v>0</v>
      </c>
      <c r="R294">
        <v>2</v>
      </c>
      <c r="S294">
        <v>1</v>
      </c>
      <c r="T294">
        <v>0</v>
      </c>
      <c r="U294">
        <v>0</v>
      </c>
      <c r="W294" t="str">
        <f>"17:45:36.141"</f>
        <v>17:45:36.141</v>
      </c>
      <c r="X294" t="str">
        <f>"17:45:36.141"</f>
        <v>17:45:36.141</v>
      </c>
      <c r="Y294" t="str">
        <f t="shared" si="41"/>
        <v>A7C771</v>
      </c>
      <c r="Z294">
        <v>0</v>
      </c>
      <c r="AA294">
        <v>0</v>
      </c>
      <c r="AB294">
        <v>2</v>
      </c>
      <c r="AC294">
        <v>0</v>
      </c>
      <c r="AE294">
        <v>0</v>
      </c>
      <c r="AF294">
        <v>8</v>
      </c>
      <c r="AG294">
        <v>3</v>
      </c>
      <c r="AH294">
        <v>0</v>
      </c>
      <c r="AI294">
        <v>9</v>
      </c>
      <c r="AJ294" t="s">
        <v>125</v>
      </c>
      <c r="AK294">
        <v>0</v>
      </c>
      <c r="AL294">
        <v>3</v>
      </c>
      <c r="AM294">
        <v>2</v>
      </c>
      <c r="AN294">
        <v>1</v>
      </c>
      <c r="AO294" t="s">
        <v>724</v>
      </c>
      <c r="AP294">
        <v>42.972828999999997</v>
      </c>
      <c r="AQ294" t="s">
        <v>725</v>
      </c>
      <c r="AR294">
        <v>-77.569742000000005</v>
      </c>
      <c r="AS294">
        <v>25</v>
      </c>
      <c r="AT294">
        <v>2250</v>
      </c>
      <c r="AU294" t="s">
        <v>123</v>
      </c>
      <c r="AV294">
        <v>31</v>
      </c>
      <c r="AW294">
        <v>176</v>
      </c>
      <c r="AX294">
        <v>-512</v>
      </c>
      <c r="AZ294">
        <f t="shared" si="46"/>
        <v>961</v>
      </c>
      <c r="BA294">
        <f t="shared" si="47"/>
        <v>30976</v>
      </c>
      <c r="BB294" s="1">
        <f t="shared" si="48"/>
        <v>178.70926109186397</v>
      </c>
      <c r="BJ294">
        <v>1404</v>
      </c>
      <c r="BK294">
        <v>1</v>
      </c>
      <c r="BL294" t="str">
        <f t="shared" si="42"/>
        <v xml:space="preserve">N600C   </v>
      </c>
      <c r="BM294">
        <v>2</v>
      </c>
      <c r="BO294">
        <v>0</v>
      </c>
      <c r="BP294">
        <v>0</v>
      </c>
      <c r="BQ294">
        <v>0</v>
      </c>
      <c r="BR294">
        <v>2425</v>
      </c>
      <c r="BS294">
        <v>175</v>
      </c>
      <c r="BT294" t="s">
        <v>128</v>
      </c>
      <c r="BU294">
        <v>0</v>
      </c>
      <c r="BV294">
        <v>0</v>
      </c>
      <c r="BW294">
        <v>0</v>
      </c>
      <c r="BX294">
        <v>1</v>
      </c>
      <c r="CA294">
        <v>0</v>
      </c>
      <c r="CB294">
        <v>0</v>
      </c>
      <c r="CC294">
        <v>0</v>
      </c>
      <c r="CM294" t="str">
        <f>"17:45:36.142"</f>
        <v>17:45:36.142</v>
      </c>
      <c r="CN294">
        <v>142233777</v>
      </c>
      <c r="CQ294">
        <v>0</v>
      </c>
      <c r="CR294">
        <v>2496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3</v>
      </c>
      <c r="DB294">
        <v>2</v>
      </c>
      <c r="DC294">
        <v>0</v>
      </c>
      <c r="DD294">
        <v>2</v>
      </c>
      <c r="DE294">
        <v>0</v>
      </c>
      <c r="DF294">
        <v>7</v>
      </c>
      <c r="DG294">
        <v>7</v>
      </c>
      <c r="DH294" t="s">
        <v>124</v>
      </c>
      <c r="DI294">
        <v>71</v>
      </c>
      <c r="DJ294">
        <v>1</v>
      </c>
      <c r="DK294" t="s">
        <v>134</v>
      </c>
      <c r="DL294" t="s">
        <v>135</v>
      </c>
      <c r="DO294">
        <v>11492528</v>
      </c>
      <c r="DQ294">
        <v>0</v>
      </c>
      <c r="DR294">
        <v>0</v>
      </c>
      <c r="DS294">
        <v>1</v>
      </c>
      <c r="DT294">
        <v>0</v>
      </c>
      <c r="DU294">
        <v>0</v>
      </c>
      <c r="DV294">
        <v>1</v>
      </c>
      <c r="DW294">
        <v>0</v>
      </c>
      <c r="DX294">
        <v>0</v>
      </c>
      <c r="DY294">
        <v>0</v>
      </c>
      <c r="DZ294">
        <v>0</v>
      </c>
      <c r="EA294">
        <v>0</v>
      </c>
    </row>
    <row r="295" spans="1:131" x14ac:dyDescent="0.35">
      <c r="A295" s="2" t="str">
        <f>"17:45:37.271"</f>
        <v>17:45:37.271</v>
      </c>
      <c r="B295" s="4">
        <f t="shared" si="49"/>
        <v>63937.271000000001</v>
      </c>
      <c r="C295" s="4">
        <f t="shared" si="43"/>
        <v>337.27100000000064</v>
      </c>
      <c r="D295" s="3">
        <f t="shared" si="44"/>
        <v>0.74001471064814817</v>
      </c>
      <c r="E295" s="2">
        <f t="shared" si="45"/>
        <v>0.74001471064814817</v>
      </c>
      <c r="G295" t="str">
        <f t="shared" si="40"/>
        <v>FFDFD7C0</v>
      </c>
      <c r="H295" t="s">
        <v>126</v>
      </c>
      <c r="I295">
        <v>8</v>
      </c>
      <c r="J295">
        <v>1008</v>
      </c>
      <c r="K295" t="s">
        <v>129</v>
      </c>
      <c r="N295" t="s">
        <v>127</v>
      </c>
      <c r="O295">
        <v>0</v>
      </c>
      <c r="P295">
        <v>3</v>
      </c>
      <c r="Q295">
        <v>0</v>
      </c>
      <c r="R295">
        <v>2</v>
      </c>
      <c r="S295">
        <v>1</v>
      </c>
      <c r="T295">
        <v>0</v>
      </c>
      <c r="U295">
        <v>0</v>
      </c>
      <c r="W295" t="str">
        <f>"17:45:36.992"</f>
        <v>17:45:36.992</v>
      </c>
      <c r="X295" t="str">
        <f>"17:45:36.592"</f>
        <v>17:45:36.592</v>
      </c>
      <c r="Y295" t="str">
        <f t="shared" si="41"/>
        <v>A7C771</v>
      </c>
      <c r="Z295">
        <v>0</v>
      </c>
      <c r="AA295">
        <v>0</v>
      </c>
      <c r="AB295">
        <v>2</v>
      </c>
      <c r="AC295">
        <v>0</v>
      </c>
      <c r="AE295">
        <v>0</v>
      </c>
      <c r="AF295">
        <v>8</v>
      </c>
      <c r="AG295">
        <v>3</v>
      </c>
      <c r="AH295">
        <v>0</v>
      </c>
      <c r="AI295">
        <v>9</v>
      </c>
      <c r="AJ295" t="s">
        <v>125</v>
      </c>
      <c r="AK295">
        <v>0</v>
      </c>
      <c r="AL295">
        <v>3</v>
      </c>
      <c r="AM295">
        <v>2</v>
      </c>
      <c r="AN295">
        <v>1</v>
      </c>
      <c r="AO295" t="s">
        <v>726</v>
      </c>
      <c r="AP295">
        <v>42.973472999999998</v>
      </c>
      <c r="AQ295" t="s">
        <v>727</v>
      </c>
      <c r="AR295">
        <v>-77.569548999999995</v>
      </c>
      <c r="AS295">
        <v>25</v>
      </c>
      <c r="AT295">
        <v>2225</v>
      </c>
      <c r="AU295" t="s">
        <v>123</v>
      </c>
      <c r="AV295">
        <v>31</v>
      </c>
      <c r="AW295">
        <v>176</v>
      </c>
      <c r="AX295">
        <v>-512</v>
      </c>
      <c r="AZ295">
        <f t="shared" si="46"/>
        <v>961</v>
      </c>
      <c r="BA295">
        <f t="shared" si="47"/>
        <v>30976</v>
      </c>
      <c r="BB295" s="1">
        <f t="shared" si="48"/>
        <v>178.70926109186397</v>
      </c>
      <c r="BJ295">
        <v>1404</v>
      </c>
      <c r="BK295">
        <v>1</v>
      </c>
      <c r="BL295" t="str">
        <f t="shared" si="42"/>
        <v xml:space="preserve">N600C   </v>
      </c>
      <c r="BM295">
        <v>2</v>
      </c>
      <c r="BO295">
        <v>0</v>
      </c>
      <c r="BP295">
        <v>0</v>
      </c>
      <c r="BQ295">
        <v>0</v>
      </c>
      <c r="BR295">
        <v>2425</v>
      </c>
      <c r="BS295">
        <v>200</v>
      </c>
      <c r="BT295" t="s">
        <v>128</v>
      </c>
      <c r="BU295">
        <v>0</v>
      </c>
      <c r="BV295">
        <v>0</v>
      </c>
      <c r="BW295">
        <v>0</v>
      </c>
      <c r="BX295">
        <v>1</v>
      </c>
      <c r="CA295">
        <v>0</v>
      </c>
      <c r="CB295">
        <v>0</v>
      </c>
      <c r="CC295">
        <v>0</v>
      </c>
      <c r="CM295" t="str">
        <f>"17:45:36.998"</f>
        <v>17:45:36.998</v>
      </c>
      <c r="CN295">
        <v>998391259</v>
      </c>
      <c r="CQ295">
        <v>0</v>
      </c>
      <c r="CR295">
        <v>2496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3</v>
      </c>
      <c r="DB295">
        <v>2</v>
      </c>
      <c r="DC295">
        <v>0</v>
      </c>
      <c r="DD295">
        <v>2</v>
      </c>
      <c r="DE295">
        <v>0</v>
      </c>
      <c r="DF295">
        <v>7</v>
      </c>
      <c r="DG295">
        <v>7</v>
      </c>
      <c r="DH295" t="s">
        <v>124</v>
      </c>
      <c r="DI295">
        <v>71</v>
      </c>
      <c r="DJ295">
        <v>1</v>
      </c>
      <c r="DK295" t="s">
        <v>134</v>
      </c>
      <c r="DL295" t="s">
        <v>135</v>
      </c>
      <c r="DO295">
        <v>11493271</v>
      </c>
      <c r="DQ295">
        <v>0</v>
      </c>
      <c r="DR295">
        <v>0</v>
      </c>
      <c r="DS295">
        <v>1</v>
      </c>
      <c r="DT295">
        <v>0</v>
      </c>
      <c r="DU295">
        <v>0</v>
      </c>
      <c r="DV295">
        <v>1</v>
      </c>
      <c r="DW295">
        <v>0</v>
      </c>
      <c r="DX295">
        <v>0</v>
      </c>
      <c r="DY295">
        <v>0</v>
      </c>
      <c r="DZ295">
        <v>0</v>
      </c>
      <c r="EA295">
        <v>0</v>
      </c>
    </row>
    <row r="296" spans="1:131" x14ac:dyDescent="0.35">
      <c r="A296" s="2" t="str">
        <f>"17:45:38.240"</f>
        <v>17:45:38.240</v>
      </c>
      <c r="B296" s="4">
        <f t="shared" si="49"/>
        <v>63938.239999999998</v>
      </c>
      <c r="C296" s="4">
        <f t="shared" si="43"/>
        <v>338.23999999999796</v>
      </c>
      <c r="D296" s="3">
        <f t="shared" si="44"/>
        <v>0.74002592592592586</v>
      </c>
      <c r="E296" s="2">
        <f t="shared" si="45"/>
        <v>0.74002592592592586</v>
      </c>
      <c r="G296" t="str">
        <f t="shared" si="40"/>
        <v>FFDFD7C0</v>
      </c>
      <c r="H296" t="s">
        <v>126</v>
      </c>
      <c r="I296">
        <v>8</v>
      </c>
      <c r="J296">
        <v>1008</v>
      </c>
      <c r="K296" t="s">
        <v>129</v>
      </c>
      <c r="N296" t="s">
        <v>127</v>
      </c>
      <c r="O296">
        <v>0</v>
      </c>
      <c r="P296">
        <v>3</v>
      </c>
      <c r="Q296">
        <v>0</v>
      </c>
      <c r="R296">
        <v>2</v>
      </c>
      <c r="S296">
        <v>1</v>
      </c>
      <c r="T296">
        <v>0</v>
      </c>
      <c r="U296">
        <v>0</v>
      </c>
      <c r="W296" t="str">
        <f>"17:45:37.961"</f>
        <v>17:45:37.961</v>
      </c>
      <c r="X296" t="str">
        <f>"17:45:37.661"</f>
        <v>17:45:37.661</v>
      </c>
      <c r="Y296" t="str">
        <f t="shared" si="41"/>
        <v>A7C771</v>
      </c>
      <c r="Z296">
        <v>0</v>
      </c>
      <c r="AA296">
        <v>0</v>
      </c>
      <c r="AB296">
        <v>2</v>
      </c>
      <c r="AC296">
        <v>0</v>
      </c>
      <c r="AE296">
        <v>0</v>
      </c>
      <c r="AF296">
        <v>8</v>
      </c>
      <c r="AG296">
        <v>3</v>
      </c>
      <c r="AH296">
        <v>0</v>
      </c>
      <c r="AI296">
        <v>9</v>
      </c>
      <c r="AJ296" t="s">
        <v>125</v>
      </c>
      <c r="AK296">
        <v>0</v>
      </c>
      <c r="AL296">
        <v>3</v>
      </c>
      <c r="AM296">
        <v>2</v>
      </c>
      <c r="AN296">
        <v>1</v>
      </c>
      <c r="AO296" t="s">
        <v>729</v>
      </c>
      <c r="AP296">
        <v>42.974310000000003</v>
      </c>
      <c r="AQ296" t="s">
        <v>730</v>
      </c>
      <c r="AR296">
        <v>-77.569355999999999</v>
      </c>
      <c r="AS296">
        <v>25</v>
      </c>
      <c r="AT296">
        <v>2225</v>
      </c>
      <c r="AU296" t="s">
        <v>123</v>
      </c>
      <c r="AV296">
        <v>31</v>
      </c>
      <c r="AW296">
        <v>176</v>
      </c>
      <c r="AX296">
        <v>-640</v>
      </c>
      <c r="AZ296">
        <f t="shared" si="46"/>
        <v>961</v>
      </c>
      <c r="BA296">
        <f t="shared" si="47"/>
        <v>30976</v>
      </c>
      <c r="BB296" s="1">
        <f t="shared" si="48"/>
        <v>178.70926109186397</v>
      </c>
      <c r="BJ296">
        <v>1404</v>
      </c>
      <c r="BK296">
        <v>1</v>
      </c>
      <c r="BL296" t="str">
        <f t="shared" si="42"/>
        <v xml:space="preserve">N600C   </v>
      </c>
      <c r="BM296">
        <v>2</v>
      </c>
      <c r="BO296">
        <v>0</v>
      </c>
      <c r="BP296">
        <v>0</v>
      </c>
      <c r="BQ296">
        <v>0</v>
      </c>
      <c r="BR296">
        <v>2400</v>
      </c>
      <c r="BS296">
        <v>175</v>
      </c>
      <c r="BT296" t="s">
        <v>128</v>
      </c>
      <c r="BU296">
        <v>0</v>
      </c>
      <c r="BV296">
        <v>0</v>
      </c>
      <c r="BW296">
        <v>0</v>
      </c>
      <c r="BX296">
        <v>1</v>
      </c>
      <c r="CA296">
        <v>0</v>
      </c>
      <c r="CB296">
        <v>0</v>
      </c>
      <c r="CC296">
        <v>0</v>
      </c>
      <c r="CM296" t="str">
        <f>"17:45:37.967"</f>
        <v>17:45:37.967</v>
      </c>
      <c r="CN296">
        <v>966569591</v>
      </c>
      <c r="CQ296">
        <v>0</v>
      </c>
      <c r="CR296">
        <v>2496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3</v>
      </c>
      <c r="DB296">
        <v>2</v>
      </c>
      <c r="DC296">
        <v>0</v>
      </c>
      <c r="DD296">
        <v>2</v>
      </c>
      <c r="DE296">
        <v>0</v>
      </c>
      <c r="DF296">
        <v>7</v>
      </c>
      <c r="DG296">
        <v>7</v>
      </c>
      <c r="DH296" t="s">
        <v>124</v>
      </c>
      <c r="DI296">
        <v>71</v>
      </c>
      <c r="DJ296">
        <v>1</v>
      </c>
      <c r="DK296" t="s">
        <v>134</v>
      </c>
      <c r="DL296" t="s">
        <v>135</v>
      </c>
      <c r="DO296">
        <v>11494101</v>
      </c>
      <c r="DQ296">
        <v>0</v>
      </c>
      <c r="DR296">
        <v>0</v>
      </c>
      <c r="DS296">
        <v>1</v>
      </c>
      <c r="DT296">
        <v>0</v>
      </c>
      <c r="DU296">
        <v>0</v>
      </c>
      <c r="DV296">
        <v>1</v>
      </c>
      <c r="DW296">
        <v>0</v>
      </c>
      <c r="DX296">
        <v>0</v>
      </c>
      <c r="DY296">
        <v>0</v>
      </c>
      <c r="DZ296">
        <v>0</v>
      </c>
      <c r="EA296">
        <v>0</v>
      </c>
    </row>
    <row r="297" spans="1:131" x14ac:dyDescent="0.35">
      <c r="A297" s="2" t="str">
        <f>"17:45:39.303"</f>
        <v>17:45:39.303</v>
      </c>
      <c r="B297" s="4">
        <f t="shared" si="49"/>
        <v>63939.302999999993</v>
      </c>
      <c r="C297" s="4">
        <f t="shared" si="43"/>
        <v>339.30299999999261</v>
      </c>
      <c r="D297" s="3">
        <f t="shared" si="44"/>
        <v>0.74003822916666662</v>
      </c>
      <c r="E297" s="2">
        <f t="shared" si="45"/>
        <v>0.74003822916666662</v>
      </c>
      <c r="G297" t="str">
        <f t="shared" si="40"/>
        <v>FFDFD7C0</v>
      </c>
      <c r="H297" t="s">
        <v>126</v>
      </c>
      <c r="I297">
        <v>8</v>
      </c>
      <c r="J297">
        <v>1008</v>
      </c>
      <c r="K297" t="s">
        <v>129</v>
      </c>
      <c r="N297" t="s">
        <v>127</v>
      </c>
      <c r="O297">
        <v>0</v>
      </c>
      <c r="P297">
        <v>3</v>
      </c>
      <c r="Q297">
        <v>0</v>
      </c>
      <c r="R297">
        <v>2</v>
      </c>
      <c r="S297">
        <v>1</v>
      </c>
      <c r="T297">
        <v>0</v>
      </c>
      <c r="U297">
        <v>0</v>
      </c>
      <c r="W297" t="str">
        <f>"17:45:39.016"</f>
        <v>17:45:39.016</v>
      </c>
      <c r="X297" t="str">
        <f>"17:45:38.816"</f>
        <v>17:45:38.816</v>
      </c>
      <c r="Y297" t="str">
        <f t="shared" si="41"/>
        <v>A7C771</v>
      </c>
      <c r="Z297">
        <v>0</v>
      </c>
      <c r="AA297">
        <v>0</v>
      </c>
      <c r="AB297">
        <v>2</v>
      </c>
      <c r="AC297">
        <v>0</v>
      </c>
      <c r="AE297">
        <v>0</v>
      </c>
      <c r="AF297">
        <v>8</v>
      </c>
      <c r="AG297">
        <v>3</v>
      </c>
      <c r="AH297">
        <v>0</v>
      </c>
      <c r="AI297">
        <v>9</v>
      </c>
      <c r="AJ297" t="s">
        <v>125</v>
      </c>
      <c r="AK297">
        <v>0</v>
      </c>
      <c r="AL297">
        <v>3</v>
      </c>
      <c r="AM297">
        <v>2</v>
      </c>
      <c r="AN297">
        <v>1</v>
      </c>
      <c r="AO297" t="s">
        <v>731</v>
      </c>
      <c r="AP297">
        <v>42.975211000000002</v>
      </c>
      <c r="AQ297" t="s">
        <v>732</v>
      </c>
      <c r="AR297">
        <v>-77.569163000000003</v>
      </c>
      <c r="AS297">
        <v>25</v>
      </c>
      <c r="AT297">
        <v>2200</v>
      </c>
      <c r="AU297" t="s">
        <v>123</v>
      </c>
      <c r="AV297">
        <v>32</v>
      </c>
      <c r="AW297">
        <v>176</v>
      </c>
      <c r="AX297">
        <v>-640</v>
      </c>
      <c r="AZ297">
        <f t="shared" si="46"/>
        <v>1024</v>
      </c>
      <c r="BA297">
        <f t="shared" si="47"/>
        <v>30976</v>
      </c>
      <c r="BB297" s="1">
        <f t="shared" si="48"/>
        <v>178.88543819998318</v>
      </c>
      <c r="BJ297">
        <v>1404</v>
      </c>
      <c r="BK297">
        <v>1</v>
      </c>
      <c r="BL297" t="str">
        <f t="shared" si="42"/>
        <v xml:space="preserve">N600C   </v>
      </c>
      <c r="BM297">
        <v>2</v>
      </c>
      <c r="BO297">
        <v>0</v>
      </c>
      <c r="BP297">
        <v>0</v>
      </c>
      <c r="BQ297">
        <v>0</v>
      </c>
      <c r="BR297">
        <v>2400</v>
      </c>
      <c r="BS297">
        <v>200</v>
      </c>
      <c r="BT297" t="s">
        <v>128</v>
      </c>
      <c r="BU297">
        <v>0</v>
      </c>
      <c r="BV297">
        <v>0</v>
      </c>
      <c r="BW297">
        <v>0</v>
      </c>
      <c r="BX297">
        <v>1</v>
      </c>
      <c r="CA297">
        <v>0</v>
      </c>
      <c r="CB297">
        <v>0</v>
      </c>
      <c r="CC297">
        <v>0</v>
      </c>
      <c r="CM297" t="str">
        <f>"17:45:39.023"</f>
        <v>17:45:39.023</v>
      </c>
      <c r="CN297">
        <v>22764878</v>
      </c>
      <c r="CQ297">
        <v>0</v>
      </c>
      <c r="CR297">
        <v>2496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3</v>
      </c>
      <c r="DB297">
        <v>2</v>
      </c>
      <c r="DC297">
        <v>0</v>
      </c>
      <c r="DD297">
        <v>2</v>
      </c>
      <c r="DE297">
        <v>0</v>
      </c>
      <c r="DF297">
        <v>7</v>
      </c>
      <c r="DG297">
        <v>7</v>
      </c>
      <c r="DH297" t="s">
        <v>124</v>
      </c>
      <c r="DI297">
        <v>71</v>
      </c>
      <c r="DJ297">
        <v>1</v>
      </c>
      <c r="DK297" t="s">
        <v>134</v>
      </c>
      <c r="DL297" t="s">
        <v>135</v>
      </c>
      <c r="DO297">
        <v>11494978</v>
      </c>
      <c r="DQ297">
        <v>0</v>
      </c>
      <c r="DR297">
        <v>0</v>
      </c>
      <c r="DS297">
        <v>1</v>
      </c>
      <c r="DT297">
        <v>0</v>
      </c>
      <c r="DU297">
        <v>0</v>
      </c>
      <c r="DV297">
        <v>1</v>
      </c>
      <c r="DW297">
        <v>0</v>
      </c>
      <c r="DX297">
        <v>0</v>
      </c>
      <c r="DY297">
        <v>0</v>
      </c>
      <c r="DZ297">
        <v>0</v>
      </c>
      <c r="EA297">
        <v>0</v>
      </c>
    </row>
    <row r="298" spans="1:131" x14ac:dyDescent="0.35">
      <c r="A298" s="2" t="str">
        <f>"17:45:40.209"</f>
        <v>17:45:40.209</v>
      </c>
      <c r="B298" s="4">
        <f t="shared" si="49"/>
        <v>63940.209000000003</v>
      </c>
      <c r="C298" s="4">
        <f t="shared" si="43"/>
        <v>340.20900000000256</v>
      </c>
      <c r="D298" s="3">
        <f t="shared" si="44"/>
        <v>0.74004871527777782</v>
      </c>
      <c r="E298" s="2">
        <f t="shared" si="45"/>
        <v>0.74004871527777782</v>
      </c>
      <c r="G298" t="str">
        <f t="shared" si="40"/>
        <v>FFDFD7C0</v>
      </c>
      <c r="H298" t="s">
        <v>126</v>
      </c>
      <c r="I298">
        <v>8</v>
      </c>
      <c r="J298">
        <v>1008</v>
      </c>
      <c r="K298" t="s">
        <v>129</v>
      </c>
      <c r="N298" t="s">
        <v>127</v>
      </c>
      <c r="O298">
        <v>0</v>
      </c>
      <c r="P298">
        <v>3</v>
      </c>
      <c r="Q298">
        <v>0</v>
      </c>
      <c r="R298">
        <v>2</v>
      </c>
      <c r="S298">
        <v>1</v>
      </c>
      <c r="T298">
        <v>0</v>
      </c>
      <c r="U298">
        <v>0</v>
      </c>
      <c r="W298" t="str">
        <f>"17:45:39.938"</f>
        <v>17:45:39.938</v>
      </c>
      <c r="X298" t="str">
        <f>"17:45:39.838"</f>
        <v>17:45:39.838</v>
      </c>
      <c r="Y298" t="str">
        <f t="shared" si="41"/>
        <v>A7C771</v>
      </c>
      <c r="Z298">
        <v>0</v>
      </c>
      <c r="AA298">
        <v>0</v>
      </c>
      <c r="AB298">
        <v>2</v>
      </c>
      <c r="AC298">
        <v>0</v>
      </c>
      <c r="AE298">
        <v>0</v>
      </c>
      <c r="AF298">
        <v>8</v>
      </c>
      <c r="AG298">
        <v>3</v>
      </c>
      <c r="AH298">
        <v>0</v>
      </c>
      <c r="AI298">
        <v>9</v>
      </c>
      <c r="AJ298" t="s">
        <v>125</v>
      </c>
      <c r="AK298">
        <v>0</v>
      </c>
      <c r="AL298">
        <v>3</v>
      </c>
      <c r="AM298">
        <v>2</v>
      </c>
      <c r="AN298">
        <v>1</v>
      </c>
      <c r="AO298" t="s">
        <v>733</v>
      </c>
      <c r="AP298">
        <v>42.975962000000003</v>
      </c>
      <c r="AQ298" t="s">
        <v>734</v>
      </c>
      <c r="AR298">
        <v>-77.568969999999993</v>
      </c>
      <c r="AS298">
        <v>25</v>
      </c>
      <c r="AT298">
        <v>2200</v>
      </c>
      <c r="AU298" t="s">
        <v>123</v>
      </c>
      <c r="AV298">
        <v>32</v>
      </c>
      <c r="AW298">
        <v>177</v>
      </c>
      <c r="AX298">
        <v>-640</v>
      </c>
      <c r="AZ298">
        <f t="shared" si="46"/>
        <v>1024</v>
      </c>
      <c r="BA298">
        <f t="shared" si="47"/>
        <v>31329</v>
      </c>
      <c r="BB298" s="1">
        <f t="shared" si="48"/>
        <v>179.86939706353607</v>
      </c>
      <c r="BJ298">
        <v>1404</v>
      </c>
      <c r="BK298">
        <v>1</v>
      </c>
      <c r="BL298" t="str">
        <f t="shared" si="42"/>
        <v xml:space="preserve">N600C   </v>
      </c>
      <c r="BM298">
        <v>2</v>
      </c>
      <c r="BO298">
        <v>0</v>
      </c>
      <c r="BP298">
        <v>0</v>
      </c>
      <c r="BQ298">
        <v>0</v>
      </c>
      <c r="BR298">
        <v>2375</v>
      </c>
      <c r="BS298">
        <v>175</v>
      </c>
      <c r="BT298" t="s">
        <v>128</v>
      </c>
      <c r="BU298">
        <v>0</v>
      </c>
      <c r="BV298">
        <v>0</v>
      </c>
      <c r="BW298">
        <v>0</v>
      </c>
      <c r="BX298">
        <v>1</v>
      </c>
      <c r="CA298">
        <v>0</v>
      </c>
      <c r="CB298">
        <v>0</v>
      </c>
      <c r="CC298">
        <v>0</v>
      </c>
      <c r="CM298" t="str">
        <f>"17:45:39.943"</f>
        <v>17:45:39.943</v>
      </c>
      <c r="CN298">
        <v>942946067</v>
      </c>
      <c r="CQ298">
        <v>0</v>
      </c>
      <c r="CR298">
        <v>2496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3</v>
      </c>
      <c r="DB298">
        <v>2</v>
      </c>
      <c r="DC298">
        <v>0</v>
      </c>
      <c r="DD298">
        <v>2</v>
      </c>
      <c r="DE298">
        <v>0</v>
      </c>
      <c r="DF298">
        <v>7</v>
      </c>
      <c r="DG298">
        <v>7</v>
      </c>
      <c r="DH298" t="s">
        <v>124</v>
      </c>
      <c r="DI298">
        <v>407</v>
      </c>
      <c r="DJ298">
        <v>3</v>
      </c>
      <c r="DK298" t="s">
        <v>132</v>
      </c>
      <c r="DL298" t="s">
        <v>133</v>
      </c>
      <c r="DO298">
        <v>1555422</v>
      </c>
      <c r="DQ298">
        <v>0</v>
      </c>
      <c r="DR298">
        <v>0</v>
      </c>
      <c r="DS298">
        <v>1</v>
      </c>
      <c r="DT298">
        <v>0</v>
      </c>
      <c r="DU298">
        <v>0</v>
      </c>
      <c r="DV298">
        <v>1</v>
      </c>
      <c r="DW298">
        <v>0</v>
      </c>
      <c r="DX298">
        <v>0</v>
      </c>
      <c r="DY298">
        <v>0</v>
      </c>
      <c r="DZ298">
        <v>0</v>
      </c>
      <c r="EA298">
        <v>0</v>
      </c>
    </row>
    <row r="299" spans="1:131" x14ac:dyDescent="0.35">
      <c r="A299" s="2" t="str">
        <f>"17:45:41.272"</f>
        <v>17:45:41.272</v>
      </c>
      <c r="B299" s="4">
        <f t="shared" si="49"/>
        <v>63941.271999999997</v>
      </c>
      <c r="C299" s="4">
        <f t="shared" si="43"/>
        <v>341.27199999999721</v>
      </c>
      <c r="D299" s="3">
        <f t="shared" si="44"/>
        <v>0.74006101851851847</v>
      </c>
      <c r="E299" s="2">
        <f t="shared" si="45"/>
        <v>0.74006101851851847</v>
      </c>
      <c r="G299" t="str">
        <f t="shared" si="40"/>
        <v>FFDFD7C0</v>
      </c>
      <c r="H299" t="s">
        <v>126</v>
      </c>
      <c r="I299">
        <v>8</v>
      </c>
      <c r="J299">
        <v>1008</v>
      </c>
      <c r="K299" t="s">
        <v>129</v>
      </c>
      <c r="N299" t="s">
        <v>127</v>
      </c>
      <c r="O299">
        <v>0</v>
      </c>
      <c r="P299">
        <v>3</v>
      </c>
      <c r="Q299">
        <v>0</v>
      </c>
      <c r="R299">
        <v>2</v>
      </c>
      <c r="S299">
        <v>1</v>
      </c>
      <c r="T299">
        <v>0</v>
      </c>
      <c r="U299">
        <v>0</v>
      </c>
      <c r="W299" t="str">
        <f>"17:45:41.023"</f>
        <v>17:45:41.023</v>
      </c>
      <c r="X299" t="str">
        <f>"17:45:40.923"</f>
        <v>17:45:40.923</v>
      </c>
      <c r="Y299" t="str">
        <f t="shared" si="41"/>
        <v>A7C771</v>
      </c>
      <c r="Z299">
        <v>0</v>
      </c>
      <c r="AA299">
        <v>0</v>
      </c>
      <c r="AB299">
        <v>2</v>
      </c>
      <c r="AC299">
        <v>0</v>
      </c>
      <c r="AE299">
        <v>0</v>
      </c>
      <c r="AF299">
        <v>8</v>
      </c>
      <c r="AG299">
        <v>3</v>
      </c>
      <c r="AH299">
        <v>0</v>
      </c>
      <c r="AI299">
        <v>9</v>
      </c>
      <c r="AJ299" t="s">
        <v>125</v>
      </c>
      <c r="AK299">
        <v>0</v>
      </c>
      <c r="AL299">
        <v>3</v>
      </c>
      <c r="AM299">
        <v>2</v>
      </c>
      <c r="AN299">
        <v>1</v>
      </c>
      <c r="AO299" t="s">
        <v>735</v>
      </c>
      <c r="AP299">
        <v>42.976841999999998</v>
      </c>
      <c r="AQ299" t="s">
        <v>736</v>
      </c>
      <c r="AR299">
        <v>-77.568776999999997</v>
      </c>
      <c r="AS299">
        <v>25</v>
      </c>
      <c r="AT299">
        <v>2175</v>
      </c>
      <c r="AU299" t="s">
        <v>123</v>
      </c>
      <c r="AV299">
        <v>32</v>
      </c>
      <c r="AW299">
        <v>177</v>
      </c>
      <c r="AX299">
        <v>-704</v>
      </c>
      <c r="AZ299">
        <f t="shared" si="46"/>
        <v>1024</v>
      </c>
      <c r="BA299">
        <f t="shared" si="47"/>
        <v>31329</v>
      </c>
      <c r="BB299" s="1">
        <f t="shared" si="48"/>
        <v>179.86939706353607</v>
      </c>
      <c r="BJ299">
        <v>1404</v>
      </c>
      <c r="BK299">
        <v>1</v>
      </c>
      <c r="BL299" t="str">
        <f t="shared" si="42"/>
        <v xml:space="preserve">N600C   </v>
      </c>
      <c r="BM299">
        <v>2</v>
      </c>
      <c r="BO299">
        <v>0</v>
      </c>
      <c r="BP299">
        <v>0</v>
      </c>
      <c r="BQ299">
        <v>0</v>
      </c>
      <c r="BR299">
        <v>2375</v>
      </c>
      <c r="BS299">
        <v>200</v>
      </c>
      <c r="BT299" t="s">
        <v>128</v>
      </c>
      <c r="BU299">
        <v>0</v>
      </c>
      <c r="BV299">
        <v>0</v>
      </c>
      <c r="BW299">
        <v>0</v>
      </c>
      <c r="BX299">
        <v>1</v>
      </c>
      <c r="CA299">
        <v>0</v>
      </c>
      <c r="CB299">
        <v>0</v>
      </c>
      <c r="CC299">
        <v>0</v>
      </c>
      <c r="CM299" t="str">
        <f>"17:45:41.031"</f>
        <v>17:45:41.031</v>
      </c>
      <c r="CN299">
        <v>31143714</v>
      </c>
      <c r="CQ299">
        <v>0</v>
      </c>
      <c r="CR299">
        <v>2496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3</v>
      </c>
      <c r="DB299">
        <v>2</v>
      </c>
      <c r="DC299">
        <v>0</v>
      </c>
      <c r="DD299">
        <v>2</v>
      </c>
      <c r="DE299">
        <v>0</v>
      </c>
      <c r="DF299">
        <v>7</v>
      </c>
      <c r="DG299">
        <v>7</v>
      </c>
      <c r="DH299" t="s">
        <v>124</v>
      </c>
      <c r="DI299">
        <v>407</v>
      </c>
      <c r="DJ299">
        <v>3</v>
      </c>
      <c r="DK299" t="s">
        <v>132</v>
      </c>
      <c r="DL299" t="s">
        <v>133</v>
      </c>
      <c r="DO299">
        <v>1556504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1</v>
      </c>
      <c r="DW299">
        <v>0</v>
      </c>
      <c r="DX299">
        <v>0</v>
      </c>
      <c r="DY299">
        <v>0</v>
      </c>
      <c r="DZ299">
        <v>0</v>
      </c>
      <c r="EA299">
        <v>0</v>
      </c>
    </row>
    <row r="300" spans="1:131" x14ac:dyDescent="0.35">
      <c r="A300" s="2" t="str">
        <f>"17:45:42.288"</f>
        <v>17:45:42.288</v>
      </c>
      <c r="B300" s="4">
        <f t="shared" si="49"/>
        <v>63942.288</v>
      </c>
      <c r="C300" s="4">
        <f t="shared" si="43"/>
        <v>342.28800000000047</v>
      </c>
      <c r="D300" s="3">
        <f t="shared" si="44"/>
        <v>0.7400727777777778</v>
      </c>
      <c r="E300" s="2">
        <f t="shared" si="45"/>
        <v>0.7400727777777778</v>
      </c>
      <c r="G300" t="str">
        <f t="shared" si="40"/>
        <v>FFDFD7C0</v>
      </c>
      <c r="H300" t="s">
        <v>126</v>
      </c>
      <c r="I300">
        <v>8</v>
      </c>
      <c r="J300">
        <v>1008</v>
      </c>
      <c r="K300" t="s">
        <v>129</v>
      </c>
      <c r="N300" t="s">
        <v>127</v>
      </c>
      <c r="O300">
        <v>0</v>
      </c>
      <c r="P300">
        <v>3</v>
      </c>
      <c r="Q300">
        <v>0</v>
      </c>
      <c r="R300">
        <v>2</v>
      </c>
      <c r="S300">
        <v>1</v>
      </c>
      <c r="T300">
        <v>0</v>
      </c>
      <c r="U300">
        <v>0</v>
      </c>
      <c r="W300" t="str">
        <f>"17:45:42.031"</f>
        <v>17:45:42.031</v>
      </c>
      <c r="X300" t="str">
        <f>"17:45:42.031"</f>
        <v>17:45:42.031</v>
      </c>
      <c r="Y300" t="str">
        <f t="shared" si="41"/>
        <v>A7C771</v>
      </c>
      <c r="Z300">
        <v>0</v>
      </c>
      <c r="AA300">
        <v>0</v>
      </c>
      <c r="AB300">
        <v>2</v>
      </c>
      <c r="AC300">
        <v>0</v>
      </c>
      <c r="AE300">
        <v>0</v>
      </c>
      <c r="AF300">
        <v>8</v>
      </c>
      <c r="AG300">
        <v>3</v>
      </c>
      <c r="AH300">
        <v>0</v>
      </c>
      <c r="AI300">
        <v>9</v>
      </c>
      <c r="AJ300" t="s">
        <v>125</v>
      </c>
      <c r="AK300">
        <v>0</v>
      </c>
      <c r="AL300">
        <v>3</v>
      </c>
      <c r="AM300">
        <v>2</v>
      </c>
      <c r="AN300">
        <v>1</v>
      </c>
      <c r="AO300" t="s">
        <v>737</v>
      </c>
      <c r="AP300">
        <v>42.977679000000002</v>
      </c>
      <c r="AQ300" t="s">
        <v>738</v>
      </c>
      <c r="AR300">
        <v>-77.568583000000004</v>
      </c>
      <c r="AS300">
        <v>25</v>
      </c>
      <c r="AT300">
        <v>2175</v>
      </c>
      <c r="AU300" t="s">
        <v>123</v>
      </c>
      <c r="AV300">
        <v>31</v>
      </c>
      <c r="AW300">
        <v>177</v>
      </c>
      <c r="AX300">
        <v>-768</v>
      </c>
      <c r="AZ300">
        <f t="shared" si="46"/>
        <v>961</v>
      </c>
      <c r="BA300">
        <f t="shared" si="47"/>
        <v>31329</v>
      </c>
      <c r="BB300" s="1">
        <f t="shared" si="48"/>
        <v>179.6941846582688</v>
      </c>
      <c r="BJ300">
        <v>1404</v>
      </c>
      <c r="BK300">
        <v>1</v>
      </c>
      <c r="BL300" t="str">
        <f t="shared" si="42"/>
        <v xml:space="preserve">N600C   </v>
      </c>
      <c r="BM300">
        <v>2</v>
      </c>
      <c r="BO300">
        <v>0</v>
      </c>
      <c r="BP300">
        <v>0</v>
      </c>
      <c r="BQ300">
        <v>0</v>
      </c>
      <c r="BR300">
        <v>2350</v>
      </c>
      <c r="BS300">
        <v>175</v>
      </c>
      <c r="BT300" t="s">
        <v>128</v>
      </c>
      <c r="BU300">
        <v>0</v>
      </c>
      <c r="BV300">
        <v>0</v>
      </c>
      <c r="BW300">
        <v>0</v>
      </c>
      <c r="BX300">
        <v>1</v>
      </c>
      <c r="CA300">
        <v>0</v>
      </c>
      <c r="CB300">
        <v>0</v>
      </c>
      <c r="CC300">
        <v>0</v>
      </c>
      <c r="CM300" t="str">
        <f>"17:45:42.031"</f>
        <v>17:45:42.031</v>
      </c>
      <c r="CN300">
        <v>31323378</v>
      </c>
      <c r="CQ300">
        <v>0</v>
      </c>
      <c r="CR300">
        <v>2496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3</v>
      </c>
      <c r="DB300">
        <v>2</v>
      </c>
      <c r="DC300">
        <v>0</v>
      </c>
      <c r="DD300">
        <v>2</v>
      </c>
      <c r="DE300">
        <v>0</v>
      </c>
      <c r="DF300">
        <v>7</v>
      </c>
      <c r="DG300">
        <v>7</v>
      </c>
      <c r="DH300" t="s">
        <v>124</v>
      </c>
      <c r="DI300">
        <v>71</v>
      </c>
      <c r="DJ300">
        <v>1</v>
      </c>
      <c r="DK300" t="s">
        <v>134</v>
      </c>
      <c r="DL300" t="s">
        <v>135</v>
      </c>
      <c r="DO300">
        <v>11497732</v>
      </c>
      <c r="DQ300">
        <v>0</v>
      </c>
      <c r="DR300">
        <v>0</v>
      </c>
      <c r="DS300">
        <v>1</v>
      </c>
      <c r="DT300">
        <v>0</v>
      </c>
      <c r="DU300">
        <v>0</v>
      </c>
      <c r="DV300">
        <v>1</v>
      </c>
      <c r="DW300">
        <v>0</v>
      </c>
      <c r="DX300">
        <v>0</v>
      </c>
      <c r="DY300">
        <v>0</v>
      </c>
      <c r="DZ300">
        <v>0</v>
      </c>
      <c r="EA300">
        <v>0</v>
      </c>
    </row>
    <row r="301" spans="1:131" x14ac:dyDescent="0.35">
      <c r="A301" s="2" t="str">
        <f>"17:45:43.319"</f>
        <v>17:45:43.319</v>
      </c>
      <c r="B301" s="4">
        <f t="shared" si="49"/>
        <v>63943.319000000003</v>
      </c>
      <c r="C301" s="4">
        <f t="shared" si="43"/>
        <v>343.31900000000314</v>
      </c>
      <c r="D301" s="3">
        <f t="shared" si="44"/>
        <v>0.74008471064814818</v>
      </c>
      <c r="E301" s="2">
        <f t="shared" si="45"/>
        <v>0.74008471064814818</v>
      </c>
      <c r="G301" t="str">
        <f t="shared" si="40"/>
        <v>FFDFD7C0</v>
      </c>
      <c r="H301" t="s">
        <v>126</v>
      </c>
      <c r="I301">
        <v>8</v>
      </c>
      <c r="J301">
        <v>1008</v>
      </c>
      <c r="K301" t="s">
        <v>129</v>
      </c>
      <c r="N301" t="s">
        <v>127</v>
      </c>
      <c r="O301">
        <v>0</v>
      </c>
      <c r="P301">
        <v>3</v>
      </c>
      <c r="Q301">
        <v>0</v>
      </c>
      <c r="R301">
        <v>2</v>
      </c>
      <c r="S301">
        <v>1</v>
      </c>
      <c r="T301">
        <v>0</v>
      </c>
      <c r="U301">
        <v>0</v>
      </c>
      <c r="W301" t="str">
        <f>"17:45:43.039"</f>
        <v>17:45:43.039</v>
      </c>
      <c r="X301" t="str">
        <f>"17:45:42.639"</f>
        <v>17:45:42.639</v>
      </c>
      <c r="Y301" t="str">
        <f t="shared" si="41"/>
        <v>A7C771</v>
      </c>
      <c r="Z301">
        <v>0</v>
      </c>
      <c r="AA301">
        <v>0</v>
      </c>
      <c r="AB301">
        <v>2</v>
      </c>
      <c r="AC301">
        <v>0</v>
      </c>
      <c r="AE301">
        <v>0</v>
      </c>
      <c r="AF301">
        <v>8</v>
      </c>
      <c r="AG301">
        <v>3</v>
      </c>
      <c r="AH301">
        <v>0</v>
      </c>
      <c r="AI301">
        <v>9</v>
      </c>
      <c r="AJ301" t="s">
        <v>125</v>
      </c>
      <c r="AK301">
        <v>0</v>
      </c>
      <c r="AL301">
        <v>3</v>
      </c>
      <c r="AM301">
        <v>2</v>
      </c>
      <c r="AN301">
        <v>1</v>
      </c>
      <c r="AO301" t="s">
        <v>739</v>
      </c>
      <c r="AP301">
        <v>42.978473000000001</v>
      </c>
      <c r="AQ301" t="s">
        <v>740</v>
      </c>
      <c r="AR301">
        <v>-77.568389999999994</v>
      </c>
      <c r="AS301">
        <v>25</v>
      </c>
      <c r="AT301">
        <v>2150</v>
      </c>
      <c r="AU301" t="s">
        <v>123</v>
      </c>
      <c r="AV301">
        <v>30</v>
      </c>
      <c r="AW301">
        <v>178</v>
      </c>
      <c r="AX301">
        <v>-768</v>
      </c>
      <c r="AZ301">
        <f t="shared" si="46"/>
        <v>900</v>
      </c>
      <c r="BA301">
        <f t="shared" si="47"/>
        <v>31684</v>
      </c>
      <c r="BB301" s="1">
        <f t="shared" si="48"/>
        <v>180.5103875127412</v>
      </c>
      <c r="BJ301">
        <v>1404</v>
      </c>
      <c r="BK301">
        <v>1</v>
      </c>
      <c r="BL301" t="str">
        <f t="shared" si="42"/>
        <v xml:space="preserve">N600C   </v>
      </c>
      <c r="BM301">
        <v>2</v>
      </c>
      <c r="BO301">
        <v>0</v>
      </c>
      <c r="BP301">
        <v>0</v>
      </c>
      <c r="BQ301">
        <v>0</v>
      </c>
      <c r="BR301">
        <v>2350</v>
      </c>
      <c r="BS301">
        <v>200</v>
      </c>
      <c r="BT301" t="s">
        <v>128</v>
      </c>
      <c r="BU301">
        <v>0</v>
      </c>
      <c r="BV301">
        <v>0</v>
      </c>
      <c r="BW301">
        <v>0</v>
      </c>
      <c r="BX301">
        <v>1</v>
      </c>
      <c r="CA301">
        <v>0</v>
      </c>
      <c r="CB301">
        <v>0</v>
      </c>
      <c r="CC301">
        <v>0</v>
      </c>
      <c r="CM301" t="str">
        <f>"17:45:43.040"</f>
        <v>17:45:43.040</v>
      </c>
      <c r="CN301">
        <v>39509163</v>
      </c>
      <c r="CQ301">
        <v>0</v>
      </c>
      <c r="CR301">
        <v>2496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3</v>
      </c>
      <c r="DB301">
        <v>2</v>
      </c>
      <c r="DC301">
        <v>0</v>
      </c>
      <c r="DD301">
        <v>2</v>
      </c>
      <c r="DE301">
        <v>0</v>
      </c>
      <c r="DF301">
        <v>7</v>
      </c>
      <c r="DG301">
        <v>7</v>
      </c>
      <c r="DH301" t="s">
        <v>124</v>
      </c>
      <c r="DI301">
        <v>71</v>
      </c>
      <c r="DJ301">
        <v>0</v>
      </c>
      <c r="DK301" t="s">
        <v>134</v>
      </c>
      <c r="DL301" t="s">
        <v>135</v>
      </c>
      <c r="DO301">
        <v>10151413</v>
      </c>
      <c r="DQ301">
        <v>0</v>
      </c>
      <c r="DR301">
        <v>0</v>
      </c>
      <c r="DS301">
        <v>1</v>
      </c>
      <c r="DT301">
        <v>0</v>
      </c>
      <c r="DU301">
        <v>0</v>
      </c>
      <c r="DV301">
        <v>1</v>
      </c>
      <c r="DW301">
        <v>0</v>
      </c>
      <c r="DX301">
        <v>0</v>
      </c>
      <c r="DY301">
        <v>0</v>
      </c>
      <c r="DZ301">
        <v>0</v>
      </c>
      <c r="EA301">
        <v>0</v>
      </c>
    </row>
    <row r="302" spans="1:131" x14ac:dyDescent="0.35">
      <c r="A302" s="2" t="str">
        <f>"17:45:44.240"</f>
        <v>17:45:44.240</v>
      </c>
      <c r="B302" s="4">
        <f t="shared" si="49"/>
        <v>63944.24</v>
      </c>
      <c r="C302" s="4">
        <f t="shared" si="43"/>
        <v>344.23999999999796</v>
      </c>
      <c r="D302" s="3">
        <f t="shared" si="44"/>
        <v>0.74009537037037032</v>
      </c>
      <c r="E302" s="2">
        <f t="shared" si="45"/>
        <v>0.74009537037037032</v>
      </c>
      <c r="G302" t="str">
        <f t="shared" si="40"/>
        <v>FFDFD7C0</v>
      </c>
      <c r="H302" t="s">
        <v>126</v>
      </c>
      <c r="I302">
        <v>8</v>
      </c>
      <c r="J302">
        <v>1008</v>
      </c>
      <c r="K302" t="s">
        <v>129</v>
      </c>
      <c r="N302" t="s">
        <v>127</v>
      </c>
      <c r="O302">
        <v>0</v>
      </c>
      <c r="P302">
        <v>3</v>
      </c>
      <c r="Q302">
        <v>0</v>
      </c>
      <c r="R302">
        <v>2</v>
      </c>
      <c r="S302">
        <v>1</v>
      </c>
      <c r="T302">
        <v>0</v>
      </c>
      <c r="U302">
        <v>0</v>
      </c>
      <c r="W302" t="str">
        <f>"17:45:43.969"</f>
        <v>17:45:43.969</v>
      </c>
      <c r="X302" t="str">
        <f>"17:45:43.969"</f>
        <v>17:45:43.969</v>
      </c>
      <c r="Y302" t="str">
        <f t="shared" si="41"/>
        <v>A7C771</v>
      </c>
      <c r="Z302">
        <v>0</v>
      </c>
      <c r="AA302">
        <v>0</v>
      </c>
      <c r="AB302">
        <v>2</v>
      </c>
      <c r="AC302">
        <v>0</v>
      </c>
      <c r="AE302">
        <v>0</v>
      </c>
      <c r="AF302">
        <v>8</v>
      </c>
      <c r="AG302">
        <v>3</v>
      </c>
      <c r="AH302">
        <v>0</v>
      </c>
      <c r="AI302">
        <v>9</v>
      </c>
      <c r="AJ302" t="s">
        <v>125</v>
      </c>
      <c r="AK302">
        <v>0</v>
      </c>
      <c r="AL302">
        <v>3</v>
      </c>
      <c r="AM302">
        <v>2</v>
      </c>
      <c r="AN302">
        <v>1</v>
      </c>
      <c r="AO302" t="s">
        <v>741</v>
      </c>
      <c r="AP302">
        <v>42.979244999999999</v>
      </c>
      <c r="AQ302" t="s">
        <v>742</v>
      </c>
      <c r="AR302">
        <v>-77.568196999999998</v>
      </c>
      <c r="AS302">
        <v>25</v>
      </c>
      <c r="AT302">
        <v>2150</v>
      </c>
      <c r="AU302" t="s">
        <v>123</v>
      </c>
      <c r="AV302">
        <v>29</v>
      </c>
      <c r="AW302">
        <v>178</v>
      </c>
      <c r="AX302">
        <v>-704</v>
      </c>
      <c r="AZ302">
        <f t="shared" si="46"/>
        <v>841</v>
      </c>
      <c r="BA302">
        <f t="shared" si="47"/>
        <v>31684</v>
      </c>
      <c r="BB302" s="1">
        <f t="shared" si="48"/>
        <v>180.34688796871433</v>
      </c>
      <c r="BJ302">
        <v>1404</v>
      </c>
      <c r="BK302">
        <v>1</v>
      </c>
      <c r="BL302" t="str">
        <f t="shared" si="42"/>
        <v xml:space="preserve">N600C   </v>
      </c>
      <c r="BM302">
        <v>2</v>
      </c>
      <c r="BO302">
        <v>0</v>
      </c>
      <c r="BP302">
        <v>0</v>
      </c>
      <c r="BQ302">
        <v>0</v>
      </c>
      <c r="BR302">
        <v>2325</v>
      </c>
      <c r="BS302">
        <v>175</v>
      </c>
      <c r="BT302" t="s">
        <v>128</v>
      </c>
      <c r="BU302">
        <v>0</v>
      </c>
      <c r="BV302">
        <v>0</v>
      </c>
      <c r="BW302">
        <v>0</v>
      </c>
      <c r="BX302">
        <v>1</v>
      </c>
      <c r="CA302">
        <v>0</v>
      </c>
      <c r="CB302">
        <v>0</v>
      </c>
      <c r="CC302">
        <v>0</v>
      </c>
      <c r="CM302" t="str">
        <f>"17:45:43.976"</f>
        <v>17:45:43.976</v>
      </c>
      <c r="CN302">
        <v>975683624</v>
      </c>
      <c r="CQ302">
        <v>0</v>
      </c>
      <c r="CR302">
        <v>2496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3</v>
      </c>
      <c r="DB302">
        <v>2</v>
      </c>
      <c r="DC302">
        <v>0</v>
      </c>
      <c r="DD302">
        <v>2</v>
      </c>
      <c r="DE302">
        <v>0</v>
      </c>
      <c r="DF302">
        <v>7</v>
      </c>
      <c r="DG302">
        <v>7</v>
      </c>
      <c r="DH302" t="s">
        <v>124</v>
      </c>
      <c r="DI302">
        <v>407</v>
      </c>
      <c r="DJ302">
        <v>3</v>
      </c>
      <c r="DK302" t="s">
        <v>132</v>
      </c>
      <c r="DL302" t="s">
        <v>133</v>
      </c>
      <c r="DO302">
        <v>1559408</v>
      </c>
      <c r="DQ302">
        <v>0</v>
      </c>
      <c r="DR302">
        <v>0</v>
      </c>
      <c r="DS302">
        <v>1</v>
      </c>
      <c r="DT302">
        <v>0</v>
      </c>
      <c r="DU302">
        <v>0</v>
      </c>
      <c r="DV302">
        <v>1</v>
      </c>
      <c r="DW302">
        <v>0</v>
      </c>
      <c r="DX302">
        <v>0</v>
      </c>
      <c r="DY302">
        <v>0</v>
      </c>
      <c r="DZ302">
        <v>0</v>
      </c>
      <c r="EA302">
        <v>0</v>
      </c>
    </row>
    <row r="303" spans="1:131" x14ac:dyDescent="0.35">
      <c r="A303" s="2" t="str">
        <f>"17:45:45.271"</f>
        <v>17:45:45.271</v>
      </c>
      <c r="B303" s="4">
        <f t="shared" si="49"/>
        <v>63945.270999999993</v>
      </c>
      <c r="C303" s="4">
        <f t="shared" si="43"/>
        <v>345.27099999999336</v>
      </c>
      <c r="D303" s="3">
        <f t="shared" si="44"/>
        <v>0.7401073032407407</v>
      </c>
      <c r="E303" s="2">
        <f t="shared" si="45"/>
        <v>0.7401073032407407</v>
      </c>
      <c r="G303" t="str">
        <f t="shared" si="40"/>
        <v>FFDFD7C0</v>
      </c>
      <c r="H303" t="s">
        <v>126</v>
      </c>
      <c r="I303">
        <v>8</v>
      </c>
      <c r="J303">
        <v>1008</v>
      </c>
      <c r="K303" t="s">
        <v>129</v>
      </c>
      <c r="N303" t="s">
        <v>127</v>
      </c>
      <c r="O303">
        <v>0</v>
      </c>
      <c r="P303">
        <v>3</v>
      </c>
      <c r="Q303">
        <v>0</v>
      </c>
      <c r="R303">
        <v>2</v>
      </c>
      <c r="S303">
        <v>1</v>
      </c>
      <c r="T303">
        <v>0</v>
      </c>
      <c r="U303">
        <v>0</v>
      </c>
      <c r="W303" t="str">
        <f>"17:45:44.961"</f>
        <v>17:45:44.961</v>
      </c>
      <c r="X303" t="str">
        <f>"17:45:44.961"</f>
        <v>17:45:44.961</v>
      </c>
      <c r="Y303" t="str">
        <f t="shared" si="41"/>
        <v>A7C771</v>
      </c>
      <c r="Z303">
        <v>0</v>
      </c>
      <c r="AA303">
        <v>0</v>
      </c>
      <c r="AB303">
        <v>2</v>
      </c>
      <c r="AC303">
        <v>0</v>
      </c>
      <c r="AE303">
        <v>0</v>
      </c>
      <c r="AF303">
        <v>8</v>
      </c>
      <c r="AG303">
        <v>3</v>
      </c>
      <c r="AH303">
        <v>0</v>
      </c>
      <c r="AI303">
        <v>9</v>
      </c>
      <c r="AJ303" t="s">
        <v>125</v>
      </c>
      <c r="AK303">
        <v>0</v>
      </c>
      <c r="AL303">
        <v>3</v>
      </c>
      <c r="AM303">
        <v>2</v>
      </c>
      <c r="AN303">
        <v>1</v>
      </c>
      <c r="AO303" t="s">
        <v>743</v>
      </c>
      <c r="AP303">
        <v>42.980082000000003</v>
      </c>
      <c r="AQ303" t="s">
        <v>744</v>
      </c>
      <c r="AR303">
        <v>-77.568068999999994</v>
      </c>
      <c r="AS303">
        <v>25</v>
      </c>
      <c r="AT303">
        <v>2125</v>
      </c>
      <c r="AU303" t="s">
        <v>123</v>
      </c>
      <c r="AV303">
        <v>28</v>
      </c>
      <c r="AW303">
        <v>178</v>
      </c>
      <c r="AX303">
        <v>-640</v>
      </c>
      <c r="AZ303">
        <f t="shared" si="46"/>
        <v>784</v>
      </c>
      <c r="BA303">
        <f t="shared" si="47"/>
        <v>31684</v>
      </c>
      <c r="BB303" s="1">
        <f t="shared" si="48"/>
        <v>180.18878988438766</v>
      </c>
      <c r="BJ303">
        <v>1404</v>
      </c>
      <c r="BK303">
        <v>1</v>
      </c>
      <c r="BL303" t="str">
        <f t="shared" si="42"/>
        <v xml:space="preserve">N600C   </v>
      </c>
      <c r="BM303">
        <v>2</v>
      </c>
      <c r="BO303">
        <v>0</v>
      </c>
      <c r="BP303">
        <v>0</v>
      </c>
      <c r="BQ303">
        <v>0</v>
      </c>
      <c r="BR303">
        <v>2325</v>
      </c>
      <c r="BS303">
        <v>200</v>
      </c>
      <c r="BT303" t="s">
        <v>128</v>
      </c>
      <c r="BU303">
        <v>0</v>
      </c>
      <c r="BV303">
        <v>0</v>
      </c>
      <c r="BW303">
        <v>0</v>
      </c>
      <c r="BX303">
        <v>1</v>
      </c>
      <c r="CA303">
        <v>0</v>
      </c>
      <c r="CB303">
        <v>0</v>
      </c>
      <c r="CC303">
        <v>0</v>
      </c>
      <c r="CM303" t="str">
        <f>"17:45:44.968"</f>
        <v>17:45:44.968</v>
      </c>
      <c r="CN303">
        <v>967873270</v>
      </c>
      <c r="CQ303">
        <v>0</v>
      </c>
      <c r="CR303">
        <v>2496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3</v>
      </c>
      <c r="DB303">
        <v>2</v>
      </c>
      <c r="DC303">
        <v>0</v>
      </c>
      <c r="DD303">
        <v>2</v>
      </c>
      <c r="DE303">
        <v>0</v>
      </c>
      <c r="DF303">
        <v>7</v>
      </c>
      <c r="DG303">
        <v>7</v>
      </c>
      <c r="DH303" t="s">
        <v>124</v>
      </c>
      <c r="DI303">
        <v>407</v>
      </c>
      <c r="DJ303">
        <v>3</v>
      </c>
      <c r="DK303" t="s">
        <v>132</v>
      </c>
      <c r="DL303" t="s">
        <v>133</v>
      </c>
      <c r="DO303">
        <v>1560495</v>
      </c>
      <c r="DQ303">
        <v>0</v>
      </c>
      <c r="DR303">
        <v>0</v>
      </c>
      <c r="DS303">
        <v>1</v>
      </c>
      <c r="DT303">
        <v>0</v>
      </c>
      <c r="DU303">
        <v>0</v>
      </c>
      <c r="DV303">
        <v>1</v>
      </c>
      <c r="DW303">
        <v>0</v>
      </c>
      <c r="DX303">
        <v>0</v>
      </c>
      <c r="DY303">
        <v>0</v>
      </c>
      <c r="DZ303">
        <v>0</v>
      </c>
      <c r="EA303">
        <v>0</v>
      </c>
    </row>
    <row r="304" spans="1:131" x14ac:dyDescent="0.35">
      <c r="A304" s="2" t="str">
        <f>"17:45:46.256"</f>
        <v>17:45:46.256</v>
      </c>
      <c r="B304" s="4">
        <f t="shared" si="49"/>
        <v>63946.256000000001</v>
      </c>
      <c r="C304" s="4">
        <f t="shared" si="43"/>
        <v>346.25600000000122</v>
      </c>
      <c r="D304" s="3">
        <f t="shared" si="44"/>
        <v>0.7401187037037037</v>
      </c>
      <c r="E304" s="2">
        <f t="shared" si="45"/>
        <v>0.7401187037037037</v>
      </c>
      <c r="G304" t="str">
        <f t="shared" si="40"/>
        <v>FFDFD7C0</v>
      </c>
      <c r="H304" t="s">
        <v>126</v>
      </c>
      <c r="I304">
        <v>8</v>
      </c>
      <c r="J304">
        <v>1008</v>
      </c>
      <c r="K304" t="s">
        <v>129</v>
      </c>
      <c r="N304" t="s">
        <v>127</v>
      </c>
      <c r="O304">
        <v>0</v>
      </c>
      <c r="P304">
        <v>3</v>
      </c>
      <c r="Q304">
        <v>0</v>
      </c>
      <c r="R304">
        <v>2</v>
      </c>
      <c r="S304">
        <v>1</v>
      </c>
      <c r="T304">
        <v>0</v>
      </c>
      <c r="U304">
        <v>0</v>
      </c>
      <c r="W304" t="str">
        <f>"17:45:45.953"</f>
        <v>17:45:45.953</v>
      </c>
      <c r="X304" t="str">
        <f>"17:45:45.853"</f>
        <v>17:45:45.853</v>
      </c>
      <c r="Y304" t="str">
        <f t="shared" si="41"/>
        <v>A7C771</v>
      </c>
      <c r="Z304">
        <v>0</v>
      </c>
      <c r="AA304">
        <v>0</v>
      </c>
      <c r="AB304">
        <v>2</v>
      </c>
      <c r="AC304">
        <v>0</v>
      </c>
      <c r="AE304">
        <v>0</v>
      </c>
      <c r="AF304">
        <v>8</v>
      </c>
      <c r="AG304">
        <v>3</v>
      </c>
      <c r="AH304">
        <v>0</v>
      </c>
      <c r="AI304">
        <v>9</v>
      </c>
      <c r="AJ304" t="s">
        <v>125</v>
      </c>
      <c r="AK304">
        <v>0</v>
      </c>
      <c r="AL304">
        <v>3</v>
      </c>
      <c r="AM304">
        <v>2</v>
      </c>
      <c r="AN304">
        <v>1</v>
      </c>
      <c r="AO304" t="s">
        <v>745</v>
      </c>
      <c r="AP304">
        <v>42.980896999999999</v>
      </c>
      <c r="AQ304" t="s">
        <v>746</v>
      </c>
      <c r="AR304">
        <v>-77.567875000000001</v>
      </c>
      <c r="AS304">
        <v>25</v>
      </c>
      <c r="AT304">
        <v>2125</v>
      </c>
      <c r="AU304" t="s">
        <v>123</v>
      </c>
      <c r="AV304">
        <v>26</v>
      </c>
      <c r="AW304">
        <v>179</v>
      </c>
      <c r="AX304">
        <v>-576</v>
      </c>
      <c r="AZ304">
        <f t="shared" si="46"/>
        <v>676</v>
      </c>
      <c r="BA304">
        <f t="shared" si="47"/>
        <v>32041</v>
      </c>
      <c r="BB304" s="1">
        <f t="shared" si="48"/>
        <v>180.87841220001906</v>
      </c>
      <c r="BJ304">
        <v>1404</v>
      </c>
      <c r="BK304">
        <v>1</v>
      </c>
      <c r="BL304" t="str">
        <f t="shared" si="42"/>
        <v xml:space="preserve">N600C   </v>
      </c>
      <c r="BM304">
        <v>2</v>
      </c>
      <c r="BO304">
        <v>0</v>
      </c>
      <c r="BP304">
        <v>0</v>
      </c>
      <c r="BQ304">
        <v>0</v>
      </c>
      <c r="BR304">
        <v>2300</v>
      </c>
      <c r="BS304">
        <v>175</v>
      </c>
      <c r="BT304" t="s">
        <v>128</v>
      </c>
      <c r="BU304">
        <v>0</v>
      </c>
      <c r="BV304">
        <v>0</v>
      </c>
      <c r="BW304">
        <v>0</v>
      </c>
      <c r="BX304">
        <v>1</v>
      </c>
      <c r="CA304">
        <v>0</v>
      </c>
      <c r="CB304">
        <v>0</v>
      </c>
      <c r="CC304">
        <v>0</v>
      </c>
      <c r="CM304" t="str">
        <f>"17:45:45.960"</f>
        <v>17:45:45.960</v>
      </c>
      <c r="CN304">
        <v>960054195</v>
      </c>
      <c r="CQ304">
        <v>0</v>
      </c>
      <c r="CR304">
        <v>2496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3</v>
      </c>
      <c r="DB304">
        <v>2</v>
      </c>
      <c r="DC304">
        <v>0</v>
      </c>
      <c r="DD304">
        <v>2</v>
      </c>
      <c r="DE304">
        <v>0</v>
      </c>
      <c r="DF304">
        <v>7</v>
      </c>
      <c r="DG304">
        <v>7</v>
      </c>
      <c r="DH304" t="s">
        <v>124</v>
      </c>
      <c r="DI304">
        <v>71</v>
      </c>
      <c r="DJ304">
        <v>0</v>
      </c>
      <c r="DK304" t="s">
        <v>134</v>
      </c>
      <c r="DL304" t="s">
        <v>135</v>
      </c>
      <c r="DO304">
        <v>10153481</v>
      </c>
      <c r="DQ304">
        <v>0</v>
      </c>
      <c r="DR304">
        <v>0</v>
      </c>
      <c r="DS304">
        <v>1</v>
      </c>
      <c r="DT304">
        <v>0</v>
      </c>
      <c r="DU304">
        <v>0</v>
      </c>
      <c r="DV304">
        <v>1</v>
      </c>
      <c r="DW304">
        <v>0</v>
      </c>
      <c r="DX304">
        <v>0</v>
      </c>
      <c r="DY304">
        <v>0</v>
      </c>
      <c r="DZ304">
        <v>0</v>
      </c>
      <c r="EA304">
        <v>0</v>
      </c>
    </row>
    <row r="305" spans="1:131" x14ac:dyDescent="0.35">
      <c r="A305" s="2" t="str">
        <f>"17:45:47.193"</f>
        <v>17:45:47.193</v>
      </c>
      <c r="B305" s="4">
        <f t="shared" si="49"/>
        <v>63947.192999999999</v>
      </c>
      <c r="C305" s="4">
        <f t="shared" si="43"/>
        <v>347.1929999999993</v>
      </c>
      <c r="D305" s="3">
        <f t="shared" si="44"/>
        <v>0.74012954861111113</v>
      </c>
      <c r="E305" s="2">
        <f t="shared" si="45"/>
        <v>0.74012954861111113</v>
      </c>
      <c r="G305" t="str">
        <f t="shared" si="40"/>
        <v>FFDFD7C0</v>
      </c>
      <c r="H305" t="s">
        <v>126</v>
      </c>
      <c r="I305">
        <v>8</v>
      </c>
      <c r="J305">
        <v>1008</v>
      </c>
      <c r="K305" t="s">
        <v>129</v>
      </c>
      <c r="N305" t="s">
        <v>127</v>
      </c>
      <c r="O305">
        <v>0</v>
      </c>
      <c r="P305">
        <v>3</v>
      </c>
      <c r="Q305">
        <v>0</v>
      </c>
      <c r="R305">
        <v>2</v>
      </c>
      <c r="S305">
        <v>1</v>
      </c>
      <c r="T305">
        <v>0</v>
      </c>
      <c r="U305">
        <v>0</v>
      </c>
      <c r="W305" t="str">
        <f>"17:45:46.992"</f>
        <v>17:45:46.992</v>
      </c>
      <c r="X305" t="str">
        <f>"17:45:46.792"</f>
        <v>17:45:46.792</v>
      </c>
      <c r="Y305" t="str">
        <f t="shared" si="41"/>
        <v>A7C771</v>
      </c>
      <c r="Z305">
        <v>0</v>
      </c>
      <c r="AA305">
        <v>0</v>
      </c>
      <c r="AB305">
        <v>2</v>
      </c>
      <c r="AC305">
        <v>0</v>
      </c>
      <c r="AE305">
        <v>0</v>
      </c>
      <c r="AF305">
        <v>8</v>
      </c>
      <c r="AG305">
        <v>3</v>
      </c>
      <c r="AH305">
        <v>0</v>
      </c>
      <c r="AI305">
        <v>9</v>
      </c>
      <c r="AJ305" t="s">
        <v>125</v>
      </c>
      <c r="AK305">
        <v>0</v>
      </c>
      <c r="AL305">
        <v>3</v>
      </c>
      <c r="AM305">
        <v>2</v>
      </c>
      <c r="AN305">
        <v>1</v>
      </c>
      <c r="AO305" t="s">
        <v>747</v>
      </c>
      <c r="AP305">
        <v>42.981712999999999</v>
      </c>
      <c r="AQ305" t="s">
        <v>748</v>
      </c>
      <c r="AR305">
        <v>-77.567746999999997</v>
      </c>
      <c r="AS305">
        <v>25</v>
      </c>
      <c r="AT305">
        <v>2125</v>
      </c>
      <c r="AU305" t="s">
        <v>123</v>
      </c>
      <c r="AV305">
        <v>24</v>
      </c>
      <c r="AW305">
        <v>179</v>
      </c>
      <c r="AX305">
        <v>-512</v>
      </c>
      <c r="AZ305">
        <f t="shared" si="46"/>
        <v>576</v>
      </c>
      <c r="BA305">
        <f t="shared" si="47"/>
        <v>32041</v>
      </c>
      <c r="BB305" s="1">
        <f t="shared" si="48"/>
        <v>180.60177186284747</v>
      </c>
      <c r="BJ305">
        <v>1404</v>
      </c>
      <c r="BK305">
        <v>1</v>
      </c>
      <c r="BL305" t="str">
        <f t="shared" si="42"/>
        <v xml:space="preserve">N600C   </v>
      </c>
      <c r="BM305">
        <v>2</v>
      </c>
      <c r="BO305">
        <v>0</v>
      </c>
      <c r="BP305">
        <v>0</v>
      </c>
      <c r="BQ305">
        <v>0</v>
      </c>
      <c r="BR305">
        <v>2300</v>
      </c>
      <c r="BS305">
        <v>175</v>
      </c>
      <c r="BT305" t="s">
        <v>128</v>
      </c>
      <c r="BU305">
        <v>0</v>
      </c>
      <c r="BV305">
        <v>0</v>
      </c>
      <c r="BW305">
        <v>0</v>
      </c>
      <c r="BX305">
        <v>1</v>
      </c>
      <c r="CA305">
        <v>0</v>
      </c>
      <c r="CB305">
        <v>0</v>
      </c>
      <c r="CC305">
        <v>0</v>
      </c>
      <c r="CM305" t="str">
        <f>"17:45:46.992"</f>
        <v>17:45:46.992</v>
      </c>
      <c r="CN305">
        <v>992244719</v>
      </c>
      <c r="CQ305">
        <v>0</v>
      </c>
      <c r="CR305">
        <v>2496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3</v>
      </c>
      <c r="DB305">
        <v>2</v>
      </c>
      <c r="DC305">
        <v>0</v>
      </c>
      <c r="DD305">
        <v>2</v>
      </c>
      <c r="DE305">
        <v>0</v>
      </c>
      <c r="DF305">
        <v>7</v>
      </c>
      <c r="DG305">
        <v>7</v>
      </c>
      <c r="DH305" t="s">
        <v>124</v>
      </c>
      <c r="DI305">
        <v>71</v>
      </c>
      <c r="DJ305">
        <v>1</v>
      </c>
      <c r="DK305" t="s">
        <v>134</v>
      </c>
      <c r="DL305" t="s">
        <v>135</v>
      </c>
      <c r="DO305">
        <v>11501960</v>
      </c>
      <c r="DQ305">
        <v>0</v>
      </c>
      <c r="DR305">
        <v>0</v>
      </c>
      <c r="DS305">
        <v>1</v>
      </c>
      <c r="DT305">
        <v>0</v>
      </c>
      <c r="DU305">
        <v>0</v>
      </c>
      <c r="DV305">
        <v>1</v>
      </c>
      <c r="DW305">
        <v>0</v>
      </c>
      <c r="DX305">
        <v>0</v>
      </c>
      <c r="DY305">
        <v>0</v>
      </c>
      <c r="DZ305">
        <v>0</v>
      </c>
      <c r="EA305">
        <v>0</v>
      </c>
    </row>
    <row r="306" spans="1:131" x14ac:dyDescent="0.35">
      <c r="A306" s="2" t="str">
        <f>"17:45:48.459"</f>
        <v>17:45:48.459</v>
      </c>
      <c r="B306" s="4">
        <f t="shared" si="49"/>
        <v>63948.459000000003</v>
      </c>
      <c r="C306" s="4">
        <f t="shared" si="43"/>
        <v>348.45900000000256</v>
      </c>
      <c r="D306" s="3">
        <f t="shared" si="44"/>
        <v>0.74014420138888892</v>
      </c>
      <c r="E306" s="2">
        <f t="shared" si="45"/>
        <v>0.74014420138888892</v>
      </c>
      <c r="G306" t="str">
        <f t="shared" si="40"/>
        <v>FFDFD7C0</v>
      </c>
      <c r="H306" t="s">
        <v>126</v>
      </c>
      <c r="I306">
        <v>8</v>
      </c>
      <c r="J306">
        <v>1008</v>
      </c>
      <c r="K306" t="s">
        <v>129</v>
      </c>
      <c r="N306" t="s">
        <v>127</v>
      </c>
      <c r="O306">
        <v>0</v>
      </c>
      <c r="P306">
        <v>3</v>
      </c>
      <c r="Q306">
        <v>0</v>
      </c>
      <c r="R306">
        <v>2</v>
      </c>
      <c r="S306">
        <v>1</v>
      </c>
      <c r="T306">
        <v>0</v>
      </c>
      <c r="U306">
        <v>0</v>
      </c>
      <c r="W306" t="str">
        <f>"17:45:48.164"</f>
        <v>17:45:48.164</v>
      </c>
      <c r="X306" t="str">
        <f>"17:45:47.864"</f>
        <v>17:45:47.864</v>
      </c>
      <c r="Y306" t="str">
        <f t="shared" si="41"/>
        <v>A7C771</v>
      </c>
      <c r="Z306">
        <v>0</v>
      </c>
      <c r="AA306">
        <v>0</v>
      </c>
      <c r="AB306">
        <v>2</v>
      </c>
      <c r="AC306">
        <v>0</v>
      </c>
      <c r="AE306">
        <v>0</v>
      </c>
      <c r="AF306">
        <v>8</v>
      </c>
      <c r="AG306">
        <v>3</v>
      </c>
      <c r="AH306">
        <v>0</v>
      </c>
      <c r="AI306">
        <v>9</v>
      </c>
      <c r="AJ306" t="s">
        <v>125</v>
      </c>
      <c r="AK306">
        <v>0</v>
      </c>
      <c r="AL306">
        <v>3</v>
      </c>
      <c r="AM306">
        <v>2</v>
      </c>
      <c r="AN306">
        <v>1</v>
      </c>
      <c r="AO306" t="s">
        <v>749</v>
      </c>
      <c r="AP306">
        <v>42.982720999999998</v>
      </c>
      <c r="AQ306" t="s">
        <v>750</v>
      </c>
      <c r="AR306">
        <v>-77.567617999999996</v>
      </c>
      <c r="AS306">
        <v>25</v>
      </c>
      <c r="AT306">
        <v>2100</v>
      </c>
      <c r="AU306" t="s">
        <v>123</v>
      </c>
      <c r="AV306">
        <v>22</v>
      </c>
      <c r="AW306">
        <v>179</v>
      </c>
      <c r="AX306">
        <v>-384</v>
      </c>
      <c r="AZ306">
        <f t="shared" si="46"/>
        <v>484</v>
      </c>
      <c r="BA306">
        <f t="shared" si="47"/>
        <v>32041</v>
      </c>
      <c r="BB306" s="1">
        <f t="shared" si="48"/>
        <v>180.34688796871433</v>
      </c>
      <c r="BJ306">
        <v>1404</v>
      </c>
      <c r="BK306">
        <v>1</v>
      </c>
      <c r="BL306" t="str">
        <f t="shared" si="42"/>
        <v xml:space="preserve">N600C   </v>
      </c>
      <c r="BM306">
        <v>2</v>
      </c>
      <c r="BO306">
        <v>0</v>
      </c>
      <c r="BP306">
        <v>0</v>
      </c>
      <c r="BQ306">
        <v>0</v>
      </c>
      <c r="BR306">
        <v>2300</v>
      </c>
      <c r="BS306">
        <v>200</v>
      </c>
      <c r="BT306" t="s">
        <v>128</v>
      </c>
      <c r="BU306">
        <v>0</v>
      </c>
      <c r="BV306">
        <v>0</v>
      </c>
      <c r="BW306">
        <v>0</v>
      </c>
      <c r="BX306">
        <v>1</v>
      </c>
      <c r="CA306">
        <v>0</v>
      </c>
      <c r="CB306">
        <v>0</v>
      </c>
      <c r="CC306">
        <v>0</v>
      </c>
      <c r="CM306" t="str">
        <f>"17:45:48.168"</f>
        <v>17:45:48.168</v>
      </c>
      <c r="CN306">
        <v>168453313</v>
      </c>
      <c r="CQ306">
        <v>0</v>
      </c>
      <c r="CR306">
        <v>2496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3</v>
      </c>
      <c r="DB306">
        <v>2</v>
      </c>
      <c r="DC306">
        <v>0</v>
      </c>
      <c r="DD306">
        <v>2</v>
      </c>
      <c r="DE306">
        <v>0</v>
      </c>
      <c r="DF306">
        <v>7</v>
      </c>
      <c r="DG306">
        <v>7</v>
      </c>
      <c r="DH306" t="s">
        <v>124</v>
      </c>
      <c r="DI306">
        <v>71</v>
      </c>
      <c r="DJ306">
        <v>1</v>
      </c>
      <c r="DK306" t="s">
        <v>134</v>
      </c>
      <c r="DL306" t="s">
        <v>135</v>
      </c>
      <c r="DO306">
        <v>11502897</v>
      </c>
      <c r="DQ306">
        <v>0</v>
      </c>
      <c r="DR306">
        <v>0</v>
      </c>
      <c r="DS306">
        <v>1</v>
      </c>
      <c r="DT306">
        <v>0</v>
      </c>
      <c r="DU306">
        <v>0</v>
      </c>
      <c r="DV306">
        <v>1</v>
      </c>
      <c r="DW306">
        <v>0</v>
      </c>
      <c r="DX306">
        <v>0</v>
      </c>
      <c r="DY306">
        <v>0</v>
      </c>
      <c r="DZ306">
        <v>0</v>
      </c>
      <c r="EA306">
        <v>0</v>
      </c>
    </row>
    <row r="307" spans="1:131" x14ac:dyDescent="0.35">
      <c r="A307" s="2" t="str">
        <f>"17:45:49.459"</f>
        <v>17:45:49.459</v>
      </c>
      <c r="B307" s="4">
        <f t="shared" si="49"/>
        <v>63949.459000000003</v>
      </c>
      <c r="C307" s="4">
        <f t="shared" si="43"/>
        <v>349.45900000000256</v>
      </c>
      <c r="D307" s="3">
        <f t="shared" si="44"/>
        <v>0.74015577546296296</v>
      </c>
      <c r="E307" s="2">
        <f t="shared" si="45"/>
        <v>0.74015577546296296</v>
      </c>
      <c r="G307" t="str">
        <f t="shared" si="40"/>
        <v>FFDFD7C0</v>
      </c>
      <c r="H307" t="s">
        <v>126</v>
      </c>
      <c r="I307">
        <v>8</v>
      </c>
      <c r="J307">
        <v>1008</v>
      </c>
      <c r="K307" t="s">
        <v>129</v>
      </c>
      <c r="N307" t="s">
        <v>127</v>
      </c>
      <c r="O307">
        <v>0</v>
      </c>
      <c r="P307">
        <v>3</v>
      </c>
      <c r="Q307">
        <v>0</v>
      </c>
      <c r="R307">
        <v>2</v>
      </c>
      <c r="S307">
        <v>1</v>
      </c>
      <c r="T307">
        <v>0</v>
      </c>
      <c r="U307">
        <v>0</v>
      </c>
      <c r="W307" t="str">
        <f>"17:45:49.219"</f>
        <v>17:45:49.219</v>
      </c>
      <c r="X307" t="str">
        <f>"17:45:48.819"</f>
        <v>17:45:48.819</v>
      </c>
      <c r="Y307" t="str">
        <f t="shared" si="41"/>
        <v>A7C771</v>
      </c>
      <c r="Z307">
        <v>0</v>
      </c>
      <c r="AA307">
        <v>0</v>
      </c>
      <c r="AB307">
        <v>2</v>
      </c>
      <c r="AC307">
        <v>0</v>
      </c>
      <c r="AE307">
        <v>0</v>
      </c>
      <c r="AF307">
        <v>8</v>
      </c>
      <c r="AG307">
        <v>3</v>
      </c>
      <c r="AH307">
        <v>0</v>
      </c>
      <c r="AI307">
        <v>9</v>
      </c>
      <c r="AJ307" t="s">
        <v>125</v>
      </c>
      <c r="AK307">
        <v>0</v>
      </c>
      <c r="AL307">
        <v>3</v>
      </c>
      <c r="AM307">
        <v>2</v>
      </c>
      <c r="AN307">
        <v>1</v>
      </c>
      <c r="AO307" t="s">
        <v>751</v>
      </c>
      <c r="AP307">
        <v>42.983643999999998</v>
      </c>
      <c r="AQ307" t="s">
        <v>752</v>
      </c>
      <c r="AR307">
        <v>-77.567468000000005</v>
      </c>
      <c r="AS307">
        <v>25</v>
      </c>
      <c r="AT307">
        <v>2100</v>
      </c>
      <c r="AU307" t="s">
        <v>123</v>
      </c>
      <c r="AV307">
        <v>20</v>
      </c>
      <c r="AW307">
        <v>179</v>
      </c>
      <c r="AX307">
        <v>-384</v>
      </c>
      <c r="AZ307">
        <f t="shared" si="46"/>
        <v>400</v>
      </c>
      <c r="BA307">
        <f t="shared" si="47"/>
        <v>32041</v>
      </c>
      <c r="BB307" s="1">
        <f t="shared" si="48"/>
        <v>180.1138528820035</v>
      </c>
      <c r="BJ307">
        <v>1404</v>
      </c>
      <c r="BK307">
        <v>1</v>
      </c>
      <c r="BL307" t="str">
        <f t="shared" si="42"/>
        <v xml:space="preserve">N600C   </v>
      </c>
      <c r="BM307">
        <v>2</v>
      </c>
      <c r="BO307">
        <v>0</v>
      </c>
      <c r="BP307">
        <v>0</v>
      </c>
      <c r="BQ307">
        <v>0</v>
      </c>
      <c r="BR307">
        <v>2275</v>
      </c>
      <c r="BS307">
        <v>175</v>
      </c>
      <c r="BT307" t="s">
        <v>128</v>
      </c>
      <c r="BU307">
        <v>0</v>
      </c>
      <c r="BV307">
        <v>0</v>
      </c>
      <c r="BW307">
        <v>0</v>
      </c>
      <c r="BX307">
        <v>1</v>
      </c>
      <c r="CA307">
        <v>0</v>
      </c>
      <c r="CB307">
        <v>0</v>
      </c>
      <c r="CC307">
        <v>0</v>
      </c>
      <c r="CM307" t="str">
        <f>"17:45:49.225"</f>
        <v>17:45:49.225</v>
      </c>
      <c r="CN307">
        <v>224645691</v>
      </c>
      <c r="CQ307">
        <v>0</v>
      </c>
      <c r="CR307">
        <v>2496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3</v>
      </c>
      <c r="DB307">
        <v>2</v>
      </c>
      <c r="DC307">
        <v>0</v>
      </c>
      <c r="DD307">
        <v>2</v>
      </c>
      <c r="DE307">
        <v>0</v>
      </c>
      <c r="DF307">
        <v>7</v>
      </c>
      <c r="DG307">
        <v>7</v>
      </c>
      <c r="DH307" t="s">
        <v>124</v>
      </c>
      <c r="DI307">
        <v>71</v>
      </c>
      <c r="DJ307">
        <v>1</v>
      </c>
      <c r="DK307" t="s">
        <v>134</v>
      </c>
      <c r="DL307" t="s">
        <v>135</v>
      </c>
      <c r="DO307">
        <v>11503908</v>
      </c>
      <c r="DQ307">
        <v>0</v>
      </c>
      <c r="DR307">
        <v>0</v>
      </c>
      <c r="DS307">
        <v>1</v>
      </c>
      <c r="DT307">
        <v>0</v>
      </c>
      <c r="DU307">
        <v>0</v>
      </c>
      <c r="DV307">
        <v>1</v>
      </c>
      <c r="DW307">
        <v>0</v>
      </c>
      <c r="DX307">
        <v>0</v>
      </c>
      <c r="DY307">
        <v>0</v>
      </c>
      <c r="DZ307">
        <v>0</v>
      </c>
      <c r="EA307">
        <v>0</v>
      </c>
    </row>
    <row r="308" spans="1:131" x14ac:dyDescent="0.35">
      <c r="A308" s="2" t="str">
        <f>"17:45:50.568"</f>
        <v>17:45:50.568</v>
      </c>
      <c r="B308" s="4">
        <f t="shared" si="49"/>
        <v>63950.567999999999</v>
      </c>
      <c r="C308" s="4">
        <f t="shared" si="43"/>
        <v>350.5679999999993</v>
      </c>
      <c r="D308" s="3">
        <f t="shared" si="44"/>
        <v>0.7401686111111111</v>
      </c>
      <c r="E308" s="2">
        <f t="shared" si="45"/>
        <v>0.7401686111111111</v>
      </c>
      <c r="G308" t="str">
        <f t="shared" si="40"/>
        <v>FFDFD7C0</v>
      </c>
      <c r="H308" t="s">
        <v>126</v>
      </c>
      <c r="I308">
        <v>8</v>
      </c>
      <c r="J308">
        <v>1008</v>
      </c>
      <c r="K308" t="s">
        <v>129</v>
      </c>
      <c r="N308" t="s">
        <v>127</v>
      </c>
      <c r="O308">
        <v>0</v>
      </c>
      <c r="P308">
        <v>3</v>
      </c>
      <c r="Q308">
        <v>0</v>
      </c>
      <c r="R308">
        <v>2</v>
      </c>
      <c r="S308">
        <v>1</v>
      </c>
      <c r="T308">
        <v>0</v>
      </c>
      <c r="U308">
        <v>0</v>
      </c>
      <c r="W308" t="str">
        <f>"17:45:50.313"</f>
        <v>17:45:50.313</v>
      </c>
      <c r="X308" t="str">
        <f>"17:45:50.313"</f>
        <v>17:45:50.313</v>
      </c>
      <c r="Y308" t="str">
        <f t="shared" si="41"/>
        <v>A7C771</v>
      </c>
      <c r="Z308">
        <v>0</v>
      </c>
      <c r="AA308">
        <v>0</v>
      </c>
      <c r="AB308">
        <v>2</v>
      </c>
      <c r="AC308">
        <v>0</v>
      </c>
      <c r="AE308">
        <v>0</v>
      </c>
      <c r="AF308">
        <v>8</v>
      </c>
      <c r="AG308">
        <v>3</v>
      </c>
      <c r="AH308">
        <v>0</v>
      </c>
      <c r="AI308">
        <v>9</v>
      </c>
      <c r="AJ308" t="s">
        <v>125</v>
      </c>
      <c r="AK308">
        <v>0</v>
      </c>
      <c r="AL308">
        <v>3</v>
      </c>
      <c r="AM308">
        <v>2</v>
      </c>
      <c r="AN308">
        <v>1</v>
      </c>
      <c r="AO308" t="s">
        <v>753</v>
      </c>
      <c r="AP308">
        <v>42.984481000000002</v>
      </c>
      <c r="AQ308" t="s">
        <v>754</v>
      </c>
      <c r="AR308">
        <v>-77.567339000000004</v>
      </c>
      <c r="AS308">
        <v>25</v>
      </c>
      <c r="AT308">
        <v>2100</v>
      </c>
      <c r="AU308" t="s">
        <v>123</v>
      </c>
      <c r="AV308">
        <v>18</v>
      </c>
      <c r="AW308">
        <v>180</v>
      </c>
      <c r="AX308">
        <v>-320</v>
      </c>
      <c r="AZ308">
        <f t="shared" si="46"/>
        <v>324</v>
      </c>
      <c r="BA308">
        <f t="shared" si="47"/>
        <v>32400</v>
      </c>
      <c r="BB308" s="1">
        <f t="shared" si="48"/>
        <v>180.89776118017602</v>
      </c>
      <c r="BJ308">
        <v>1404</v>
      </c>
      <c r="BK308">
        <v>1</v>
      </c>
      <c r="BL308" t="str">
        <f t="shared" si="42"/>
        <v xml:space="preserve">N600C   </v>
      </c>
      <c r="BM308">
        <v>2</v>
      </c>
      <c r="BO308">
        <v>0</v>
      </c>
      <c r="BP308">
        <v>0</v>
      </c>
      <c r="BQ308">
        <v>0</v>
      </c>
      <c r="BR308">
        <v>2275</v>
      </c>
      <c r="BS308">
        <v>175</v>
      </c>
      <c r="BT308" t="s">
        <v>128</v>
      </c>
      <c r="BU308">
        <v>0</v>
      </c>
      <c r="BV308">
        <v>0</v>
      </c>
      <c r="BW308">
        <v>0</v>
      </c>
      <c r="BX308">
        <v>1</v>
      </c>
      <c r="CA308">
        <v>0</v>
      </c>
      <c r="CB308">
        <v>0</v>
      </c>
      <c r="CC308">
        <v>0</v>
      </c>
      <c r="CM308" t="str">
        <f>"17:45:50.313"</f>
        <v>17:45:50.313</v>
      </c>
      <c r="CN308">
        <v>312844283</v>
      </c>
      <c r="CQ308">
        <v>0</v>
      </c>
      <c r="CR308">
        <v>2496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3</v>
      </c>
      <c r="DB308">
        <v>2</v>
      </c>
      <c r="DC308">
        <v>0</v>
      </c>
      <c r="DD308">
        <v>2</v>
      </c>
      <c r="DE308">
        <v>0</v>
      </c>
      <c r="DF308">
        <v>7</v>
      </c>
      <c r="DG308">
        <v>7</v>
      </c>
      <c r="DH308" t="s">
        <v>124</v>
      </c>
      <c r="DI308">
        <v>71</v>
      </c>
      <c r="DJ308">
        <v>1</v>
      </c>
      <c r="DK308" t="s">
        <v>134</v>
      </c>
      <c r="DL308" t="s">
        <v>135</v>
      </c>
      <c r="DO308">
        <v>11504935</v>
      </c>
      <c r="DQ308">
        <v>0</v>
      </c>
      <c r="DR308">
        <v>0</v>
      </c>
      <c r="DS308">
        <v>1</v>
      </c>
      <c r="DT308">
        <v>0</v>
      </c>
      <c r="DU308">
        <v>0</v>
      </c>
      <c r="DV308">
        <v>1</v>
      </c>
      <c r="DW308">
        <v>0</v>
      </c>
      <c r="DX308">
        <v>0</v>
      </c>
      <c r="DY308">
        <v>0</v>
      </c>
      <c r="DZ308">
        <v>0</v>
      </c>
      <c r="EA308">
        <v>0</v>
      </c>
    </row>
    <row r="309" spans="1:131" x14ac:dyDescent="0.35">
      <c r="A309" s="2" t="str">
        <f>"17:45:51.459"</f>
        <v>17:45:51.459</v>
      </c>
      <c r="B309" s="4">
        <f t="shared" si="49"/>
        <v>63951.459000000003</v>
      </c>
      <c r="C309" s="4">
        <f t="shared" si="43"/>
        <v>351.45900000000256</v>
      </c>
      <c r="D309" s="3">
        <f t="shared" si="44"/>
        <v>0.74017892361111115</v>
      </c>
      <c r="E309" s="2">
        <f t="shared" si="45"/>
        <v>0.74017892361111115</v>
      </c>
      <c r="G309" t="str">
        <f t="shared" si="40"/>
        <v>FFDFD7C0</v>
      </c>
      <c r="H309" t="s">
        <v>126</v>
      </c>
      <c r="I309">
        <v>8</v>
      </c>
      <c r="J309">
        <v>1008</v>
      </c>
      <c r="K309" t="s">
        <v>129</v>
      </c>
      <c r="N309" t="s">
        <v>127</v>
      </c>
      <c r="O309">
        <v>0</v>
      </c>
      <c r="P309">
        <v>3</v>
      </c>
      <c r="Q309">
        <v>0</v>
      </c>
      <c r="R309">
        <v>2</v>
      </c>
      <c r="S309">
        <v>1</v>
      </c>
      <c r="T309">
        <v>0</v>
      </c>
      <c r="U309">
        <v>0</v>
      </c>
      <c r="W309" t="str">
        <f>"17:45:51.195"</f>
        <v>17:45:51.195</v>
      </c>
      <c r="X309" t="str">
        <f>"17:45:50.895"</f>
        <v>17:45:50.895</v>
      </c>
      <c r="Y309" t="str">
        <f t="shared" si="41"/>
        <v>A7C771</v>
      </c>
      <c r="Z309">
        <v>0</v>
      </c>
      <c r="AA309">
        <v>0</v>
      </c>
      <c r="AB309">
        <v>2</v>
      </c>
      <c r="AC309">
        <v>0</v>
      </c>
      <c r="AE309">
        <v>0</v>
      </c>
      <c r="AF309">
        <v>8</v>
      </c>
      <c r="AG309">
        <v>3</v>
      </c>
      <c r="AH309">
        <v>0</v>
      </c>
      <c r="AI309">
        <v>9</v>
      </c>
      <c r="AJ309" t="s">
        <v>125</v>
      </c>
      <c r="AK309">
        <v>0</v>
      </c>
      <c r="AL309">
        <v>3</v>
      </c>
      <c r="AM309">
        <v>2</v>
      </c>
      <c r="AN309">
        <v>1</v>
      </c>
      <c r="AO309" t="s">
        <v>755</v>
      </c>
      <c r="AP309">
        <v>42.985188999999998</v>
      </c>
      <c r="AQ309" t="s">
        <v>756</v>
      </c>
      <c r="AR309">
        <v>-77.567317000000003</v>
      </c>
      <c r="AS309">
        <v>25</v>
      </c>
      <c r="AT309">
        <v>2100</v>
      </c>
      <c r="AU309" t="s">
        <v>123</v>
      </c>
      <c r="AV309">
        <v>16</v>
      </c>
      <c r="AW309">
        <v>180</v>
      </c>
      <c r="AX309">
        <v>-320</v>
      </c>
      <c r="AZ309">
        <f t="shared" si="46"/>
        <v>256</v>
      </c>
      <c r="BA309">
        <f t="shared" si="47"/>
        <v>32400</v>
      </c>
      <c r="BB309" s="1">
        <f t="shared" si="48"/>
        <v>180.70971196922429</v>
      </c>
      <c r="BJ309">
        <v>1404</v>
      </c>
      <c r="BK309">
        <v>1</v>
      </c>
      <c r="BL309" t="str">
        <f t="shared" si="42"/>
        <v xml:space="preserve">N600C   </v>
      </c>
      <c r="BM309">
        <v>2</v>
      </c>
      <c r="BO309">
        <v>0</v>
      </c>
      <c r="BP309">
        <v>0</v>
      </c>
      <c r="BQ309">
        <v>0</v>
      </c>
      <c r="BR309">
        <v>2275</v>
      </c>
      <c r="BS309">
        <v>175</v>
      </c>
      <c r="BT309" t="s">
        <v>128</v>
      </c>
      <c r="BU309">
        <v>0</v>
      </c>
      <c r="BV309">
        <v>0</v>
      </c>
      <c r="BW309">
        <v>0</v>
      </c>
      <c r="BX309">
        <v>1</v>
      </c>
      <c r="CA309">
        <v>0</v>
      </c>
      <c r="CB309">
        <v>0</v>
      </c>
      <c r="CC309">
        <v>0</v>
      </c>
      <c r="CM309" t="str">
        <f>"17:45:51.201"</f>
        <v>17:45:51.201</v>
      </c>
      <c r="CN309">
        <v>200995385</v>
      </c>
      <c r="CQ309">
        <v>0</v>
      </c>
      <c r="CR309">
        <v>2496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3</v>
      </c>
      <c r="DB309">
        <v>2</v>
      </c>
      <c r="DC309">
        <v>0</v>
      </c>
      <c r="DD309">
        <v>2</v>
      </c>
      <c r="DE309">
        <v>0</v>
      </c>
      <c r="DF309">
        <v>7</v>
      </c>
      <c r="DG309">
        <v>7</v>
      </c>
      <c r="DH309" t="s">
        <v>124</v>
      </c>
      <c r="DI309">
        <v>71</v>
      </c>
      <c r="DJ309">
        <v>1</v>
      </c>
      <c r="DK309" t="s">
        <v>134</v>
      </c>
      <c r="DL309" t="s">
        <v>135</v>
      </c>
      <c r="DO309">
        <v>11505722</v>
      </c>
      <c r="DQ309">
        <v>0</v>
      </c>
      <c r="DR309">
        <v>0</v>
      </c>
      <c r="DS309">
        <v>1</v>
      </c>
      <c r="DT309">
        <v>0</v>
      </c>
      <c r="DU309">
        <v>0</v>
      </c>
      <c r="DV309">
        <v>1</v>
      </c>
      <c r="DW309">
        <v>0</v>
      </c>
      <c r="DX309">
        <v>0</v>
      </c>
      <c r="DY309">
        <v>0</v>
      </c>
      <c r="DZ309">
        <v>0</v>
      </c>
      <c r="EA309">
        <v>0</v>
      </c>
    </row>
    <row r="310" spans="1:131" x14ac:dyDescent="0.35">
      <c r="A310" s="2" t="str">
        <f>"17:45:52.599"</f>
        <v>17:45:52.599</v>
      </c>
      <c r="B310" s="4">
        <f t="shared" si="49"/>
        <v>63952.599000000009</v>
      </c>
      <c r="C310" s="4">
        <f t="shared" si="43"/>
        <v>352.59900000000926</v>
      </c>
      <c r="D310" s="3">
        <f t="shared" si="44"/>
        <v>0.74019211805555563</v>
      </c>
      <c r="E310" s="2">
        <f t="shared" si="45"/>
        <v>0.74019211805555563</v>
      </c>
      <c r="G310" t="str">
        <f t="shared" si="40"/>
        <v>FFDFD7C0</v>
      </c>
      <c r="H310" t="s">
        <v>126</v>
      </c>
      <c r="I310">
        <v>8</v>
      </c>
      <c r="J310">
        <v>1008</v>
      </c>
      <c r="K310" t="s">
        <v>129</v>
      </c>
      <c r="N310" t="s">
        <v>127</v>
      </c>
      <c r="O310">
        <v>0</v>
      </c>
      <c r="P310">
        <v>3</v>
      </c>
      <c r="Q310">
        <v>0</v>
      </c>
      <c r="R310">
        <v>2</v>
      </c>
      <c r="S310">
        <v>1</v>
      </c>
      <c r="T310">
        <v>0</v>
      </c>
      <c r="U310">
        <v>0</v>
      </c>
      <c r="W310" t="str">
        <f>"17:45:52.242"</f>
        <v>17:45:52.242</v>
      </c>
      <c r="X310" t="str">
        <f>"17:45:51.942"</f>
        <v>17:45:51.942</v>
      </c>
      <c r="Y310" t="str">
        <f t="shared" si="41"/>
        <v>A7C771</v>
      </c>
      <c r="Z310">
        <v>0</v>
      </c>
      <c r="AA310">
        <v>0</v>
      </c>
      <c r="AB310">
        <v>2</v>
      </c>
      <c r="AC310">
        <v>0</v>
      </c>
      <c r="AE310">
        <v>0</v>
      </c>
      <c r="AF310">
        <v>8</v>
      </c>
      <c r="AG310">
        <v>3</v>
      </c>
      <c r="AH310">
        <v>0</v>
      </c>
      <c r="AI310">
        <v>9</v>
      </c>
      <c r="AJ310" t="s">
        <v>125</v>
      </c>
      <c r="AK310">
        <v>0</v>
      </c>
      <c r="AL310">
        <v>3</v>
      </c>
      <c r="AM310">
        <v>2</v>
      </c>
      <c r="AN310">
        <v>1</v>
      </c>
      <c r="AO310" t="s">
        <v>757</v>
      </c>
      <c r="AP310">
        <v>42.986154999999997</v>
      </c>
      <c r="AQ310" t="s">
        <v>758</v>
      </c>
      <c r="AR310">
        <v>-77.567210000000003</v>
      </c>
      <c r="AS310">
        <v>25</v>
      </c>
      <c r="AT310">
        <v>2075</v>
      </c>
      <c r="AU310" t="s">
        <v>123</v>
      </c>
      <c r="AV310">
        <v>14</v>
      </c>
      <c r="AW310">
        <v>180</v>
      </c>
      <c r="AX310">
        <v>-320</v>
      </c>
      <c r="AZ310">
        <f t="shared" si="46"/>
        <v>196</v>
      </c>
      <c r="BA310">
        <f t="shared" si="47"/>
        <v>32400</v>
      </c>
      <c r="BB310" s="1">
        <f t="shared" si="48"/>
        <v>180.54362353736008</v>
      </c>
      <c r="BJ310">
        <v>1404</v>
      </c>
      <c r="BK310">
        <v>1</v>
      </c>
      <c r="BL310" t="str">
        <f t="shared" si="42"/>
        <v xml:space="preserve">N600C   </v>
      </c>
      <c r="BM310">
        <v>2</v>
      </c>
      <c r="BO310">
        <v>0</v>
      </c>
      <c r="BP310">
        <v>0</v>
      </c>
      <c r="BQ310">
        <v>0</v>
      </c>
      <c r="BR310">
        <v>2275</v>
      </c>
      <c r="BS310">
        <v>200</v>
      </c>
      <c r="BT310" t="s">
        <v>128</v>
      </c>
      <c r="BU310">
        <v>0</v>
      </c>
      <c r="BV310">
        <v>0</v>
      </c>
      <c r="BW310">
        <v>0</v>
      </c>
      <c r="BX310">
        <v>1</v>
      </c>
      <c r="CA310">
        <v>0</v>
      </c>
      <c r="CB310">
        <v>0</v>
      </c>
      <c r="CC310">
        <v>0</v>
      </c>
      <c r="CM310" t="str">
        <f>"17:45:52.249"</f>
        <v>17:45:52.249</v>
      </c>
      <c r="CN310">
        <v>249192163</v>
      </c>
      <c r="CQ310">
        <v>0</v>
      </c>
      <c r="CR310">
        <v>2496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3</v>
      </c>
      <c r="DB310">
        <v>2</v>
      </c>
      <c r="DC310">
        <v>0</v>
      </c>
      <c r="DD310">
        <v>2</v>
      </c>
      <c r="DE310">
        <v>0</v>
      </c>
      <c r="DF310">
        <v>7</v>
      </c>
      <c r="DG310">
        <v>7</v>
      </c>
      <c r="DH310" t="s">
        <v>124</v>
      </c>
      <c r="DI310">
        <v>71</v>
      </c>
      <c r="DJ310">
        <v>1</v>
      </c>
      <c r="DK310" t="s">
        <v>134</v>
      </c>
      <c r="DL310" t="s">
        <v>135</v>
      </c>
      <c r="DO310">
        <v>11506577</v>
      </c>
      <c r="DQ310">
        <v>0</v>
      </c>
      <c r="DR310">
        <v>0</v>
      </c>
      <c r="DS310">
        <v>1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</row>
    <row r="311" spans="1:131" x14ac:dyDescent="0.35">
      <c r="A311" s="2" t="str">
        <f>"17:45:53.490"</f>
        <v>17:45:53.490</v>
      </c>
      <c r="B311" s="4">
        <f t="shared" si="49"/>
        <v>63953.49</v>
      </c>
      <c r="C311" s="4">
        <f t="shared" si="43"/>
        <v>353.48999999999796</v>
      </c>
      <c r="D311" s="3">
        <f t="shared" si="44"/>
        <v>0.74020243055555557</v>
      </c>
      <c r="E311" s="2">
        <f t="shared" si="45"/>
        <v>0.74020243055555557</v>
      </c>
      <c r="G311" t="str">
        <f t="shared" si="40"/>
        <v>FFDFD7C0</v>
      </c>
      <c r="H311" t="s">
        <v>126</v>
      </c>
      <c r="I311">
        <v>8</v>
      </c>
      <c r="J311">
        <v>1008</v>
      </c>
      <c r="K311" t="s">
        <v>129</v>
      </c>
      <c r="N311" t="s">
        <v>127</v>
      </c>
      <c r="O311">
        <v>0</v>
      </c>
      <c r="P311">
        <v>3</v>
      </c>
      <c r="Q311">
        <v>0</v>
      </c>
      <c r="R311">
        <v>2</v>
      </c>
      <c r="S311">
        <v>1</v>
      </c>
      <c r="T311">
        <v>0</v>
      </c>
      <c r="U311">
        <v>0</v>
      </c>
      <c r="W311" t="str">
        <f>"17:45:53.172"</f>
        <v>17:45:53.172</v>
      </c>
      <c r="X311" t="str">
        <f>"17:45:52.872"</f>
        <v>17:45:52.872</v>
      </c>
      <c r="Y311" t="str">
        <f t="shared" si="41"/>
        <v>A7C771</v>
      </c>
      <c r="Z311">
        <v>0</v>
      </c>
      <c r="AA311">
        <v>0</v>
      </c>
      <c r="AB311">
        <v>2</v>
      </c>
      <c r="AC311">
        <v>0</v>
      </c>
      <c r="AE311">
        <v>0</v>
      </c>
      <c r="AF311">
        <v>8</v>
      </c>
      <c r="AG311">
        <v>3</v>
      </c>
      <c r="AH311">
        <v>0</v>
      </c>
      <c r="AI311">
        <v>9</v>
      </c>
      <c r="AJ311" t="s">
        <v>125</v>
      </c>
      <c r="AK311">
        <v>0</v>
      </c>
      <c r="AL311">
        <v>3</v>
      </c>
      <c r="AM311">
        <v>2</v>
      </c>
      <c r="AN311">
        <v>1</v>
      </c>
      <c r="AO311" t="s">
        <v>759</v>
      </c>
      <c r="AP311">
        <v>42.986884000000003</v>
      </c>
      <c r="AQ311" t="s">
        <v>760</v>
      </c>
      <c r="AR311">
        <v>-77.567124000000007</v>
      </c>
      <c r="AS311">
        <v>25</v>
      </c>
      <c r="AT311">
        <v>2075</v>
      </c>
      <c r="AU311" t="s">
        <v>123</v>
      </c>
      <c r="AV311">
        <v>12</v>
      </c>
      <c r="AW311">
        <v>180</v>
      </c>
      <c r="AX311">
        <v>-384</v>
      </c>
      <c r="AZ311">
        <f t="shared" si="46"/>
        <v>144</v>
      </c>
      <c r="BA311">
        <f t="shared" si="47"/>
        <v>32400</v>
      </c>
      <c r="BB311" s="1">
        <f t="shared" si="48"/>
        <v>180.39955654047489</v>
      </c>
      <c r="BJ311">
        <v>1404</v>
      </c>
      <c r="BK311">
        <v>1</v>
      </c>
      <c r="BL311" t="str">
        <f t="shared" si="42"/>
        <v xml:space="preserve">N600C   </v>
      </c>
      <c r="BM311">
        <v>2</v>
      </c>
      <c r="BO311">
        <v>0</v>
      </c>
      <c r="BP311">
        <v>0</v>
      </c>
      <c r="BQ311">
        <v>0</v>
      </c>
      <c r="BR311">
        <v>2250</v>
      </c>
      <c r="BS311">
        <v>175</v>
      </c>
      <c r="BT311" t="s">
        <v>128</v>
      </c>
      <c r="BU311">
        <v>0</v>
      </c>
      <c r="BV311">
        <v>0</v>
      </c>
      <c r="BW311">
        <v>0</v>
      </c>
      <c r="BX311">
        <v>1</v>
      </c>
      <c r="CA311">
        <v>0</v>
      </c>
      <c r="CB311">
        <v>0</v>
      </c>
      <c r="CC311">
        <v>0</v>
      </c>
      <c r="CM311" t="str">
        <f>"17:45:53.177"</f>
        <v>17:45:53.177</v>
      </c>
      <c r="CN311">
        <v>177363357</v>
      </c>
      <c r="CQ311">
        <v>0</v>
      </c>
      <c r="CR311">
        <v>2496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3</v>
      </c>
      <c r="DB311">
        <v>2</v>
      </c>
      <c r="DC311">
        <v>0</v>
      </c>
      <c r="DD311">
        <v>2</v>
      </c>
      <c r="DE311">
        <v>0</v>
      </c>
      <c r="DF311">
        <v>7</v>
      </c>
      <c r="DG311">
        <v>7</v>
      </c>
      <c r="DH311" t="s">
        <v>124</v>
      </c>
      <c r="DI311">
        <v>71</v>
      </c>
      <c r="DJ311">
        <v>0</v>
      </c>
      <c r="DK311" t="s">
        <v>134</v>
      </c>
      <c r="DL311" t="s">
        <v>135</v>
      </c>
      <c r="DO311">
        <v>10158737</v>
      </c>
      <c r="DQ311">
        <v>0</v>
      </c>
      <c r="DR311">
        <v>0</v>
      </c>
      <c r="DS311">
        <v>1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</row>
    <row r="312" spans="1:131" x14ac:dyDescent="0.35">
      <c r="A312" s="2" t="str">
        <f>"17:45:54.453"</f>
        <v>17:45:54.453</v>
      </c>
      <c r="B312" s="4">
        <f t="shared" si="49"/>
        <v>63954.452999999994</v>
      </c>
      <c r="C312" s="4">
        <f t="shared" si="43"/>
        <v>354.45299999999406</v>
      </c>
      <c r="D312" s="3">
        <f t="shared" si="44"/>
        <v>0.74021357638888885</v>
      </c>
      <c r="E312" s="2">
        <f t="shared" si="45"/>
        <v>0.74021357638888885</v>
      </c>
      <c r="G312" t="str">
        <f t="shared" si="40"/>
        <v>FFDFD7C0</v>
      </c>
      <c r="H312" t="s">
        <v>126</v>
      </c>
      <c r="I312">
        <v>8</v>
      </c>
      <c r="J312">
        <v>1008</v>
      </c>
      <c r="K312" t="s">
        <v>129</v>
      </c>
      <c r="N312" t="s">
        <v>127</v>
      </c>
      <c r="O312">
        <v>0</v>
      </c>
      <c r="P312">
        <v>3</v>
      </c>
      <c r="Q312">
        <v>0</v>
      </c>
      <c r="R312">
        <v>2</v>
      </c>
      <c r="S312">
        <v>1</v>
      </c>
      <c r="T312">
        <v>0</v>
      </c>
      <c r="U312">
        <v>0</v>
      </c>
      <c r="W312" t="str">
        <f>"17:45:54.234"</f>
        <v>17:45:54.234</v>
      </c>
      <c r="X312" t="str">
        <f>"17:45:53.834"</f>
        <v>17:45:53.834</v>
      </c>
      <c r="Y312" t="str">
        <f t="shared" si="41"/>
        <v>A7C771</v>
      </c>
      <c r="Z312">
        <v>0</v>
      </c>
      <c r="AA312">
        <v>0</v>
      </c>
      <c r="AB312">
        <v>2</v>
      </c>
      <c r="AC312">
        <v>0</v>
      </c>
      <c r="AE312">
        <v>0</v>
      </c>
      <c r="AF312">
        <v>8</v>
      </c>
      <c r="AG312">
        <v>3</v>
      </c>
      <c r="AH312">
        <v>0</v>
      </c>
      <c r="AI312">
        <v>9</v>
      </c>
      <c r="AJ312" t="s">
        <v>125</v>
      </c>
      <c r="AK312">
        <v>0</v>
      </c>
      <c r="AL312">
        <v>3</v>
      </c>
      <c r="AM312">
        <v>2</v>
      </c>
      <c r="AN312">
        <v>1</v>
      </c>
      <c r="AO312" t="s">
        <v>761</v>
      </c>
      <c r="AP312">
        <v>42.987785000000002</v>
      </c>
      <c r="AQ312" t="s">
        <v>762</v>
      </c>
      <c r="AR312">
        <v>-77.567081000000002</v>
      </c>
      <c r="AS312">
        <v>25</v>
      </c>
      <c r="AT312">
        <v>2075</v>
      </c>
      <c r="AU312" t="s">
        <v>123</v>
      </c>
      <c r="AV312">
        <v>10</v>
      </c>
      <c r="AW312">
        <v>180</v>
      </c>
      <c r="AX312">
        <v>-384</v>
      </c>
      <c r="AZ312">
        <f t="shared" si="46"/>
        <v>100</v>
      </c>
      <c r="BA312">
        <f t="shared" si="47"/>
        <v>32400</v>
      </c>
      <c r="BB312" s="1">
        <f t="shared" si="48"/>
        <v>180.27756377319946</v>
      </c>
      <c r="BJ312">
        <v>1404</v>
      </c>
      <c r="BK312">
        <v>1</v>
      </c>
      <c r="BL312" t="str">
        <f t="shared" si="42"/>
        <v xml:space="preserve">N600C   </v>
      </c>
      <c r="BM312">
        <v>2</v>
      </c>
      <c r="BO312">
        <v>0</v>
      </c>
      <c r="BP312">
        <v>0</v>
      </c>
      <c r="BQ312">
        <v>0</v>
      </c>
      <c r="BR312">
        <v>2250</v>
      </c>
      <c r="BS312">
        <v>175</v>
      </c>
      <c r="BT312" t="s">
        <v>128</v>
      </c>
      <c r="BU312">
        <v>0</v>
      </c>
      <c r="BV312">
        <v>0</v>
      </c>
      <c r="BW312">
        <v>0</v>
      </c>
      <c r="BX312">
        <v>1</v>
      </c>
      <c r="CA312">
        <v>0</v>
      </c>
      <c r="CB312">
        <v>0</v>
      </c>
      <c r="CC312">
        <v>0</v>
      </c>
      <c r="CM312" t="str">
        <f>"17:45:54.242"</f>
        <v>17:45:54.242</v>
      </c>
      <c r="CN312">
        <v>241556434</v>
      </c>
      <c r="CQ312">
        <v>0</v>
      </c>
      <c r="CR312">
        <v>2496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3</v>
      </c>
      <c r="DB312">
        <v>2</v>
      </c>
      <c r="DC312">
        <v>0</v>
      </c>
      <c r="DD312">
        <v>2</v>
      </c>
      <c r="DE312">
        <v>0</v>
      </c>
      <c r="DF312">
        <v>7</v>
      </c>
      <c r="DG312">
        <v>7</v>
      </c>
      <c r="DH312" t="s">
        <v>124</v>
      </c>
      <c r="DI312">
        <v>71</v>
      </c>
      <c r="DJ312">
        <v>0</v>
      </c>
      <c r="DK312" t="s">
        <v>134</v>
      </c>
      <c r="DL312" t="s">
        <v>135</v>
      </c>
      <c r="DO312">
        <v>10159500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</row>
    <row r="313" spans="1:131" x14ac:dyDescent="0.35">
      <c r="A313" s="2" t="str">
        <f>"17:45:55.522"</f>
        <v>17:45:55.522</v>
      </c>
      <c r="B313" s="4">
        <f t="shared" si="49"/>
        <v>63955.521999999997</v>
      </c>
      <c r="C313" s="4">
        <f t="shared" si="43"/>
        <v>355.52199999999721</v>
      </c>
      <c r="D313" s="3">
        <f t="shared" si="44"/>
        <v>0.74022594907407402</v>
      </c>
      <c r="E313" s="2">
        <f t="shared" si="45"/>
        <v>0.74022594907407402</v>
      </c>
      <c r="G313" t="str">
        <f t="shared" si="40"/>
        <v>FFDFD7C0</v>
      </c>
      <c r="H313" t="s">
        <v>126</v>
      </c>
      <c r="I313">
        <v>8</v>
      </c>
      <c r="J313">
        <v>1008</v>
      </c>
      <c r="K313" t="s">
        <v>129</v>
      </c>
      <c r="N313" t="s">
        <v>127</v>
      </c>
      <c r="O313">
        <v>0</v>
      </c>
      <c r="P313">
        <v>3</v>
      </c>
      <c r="Q313">
        <v>0</v>
      </c>
      <c r="R313">
        <v>2</v>
      </c>
      <c r="S313">
        <v>1</v>
      </c>
      <c r="T313">
        <v>0</v>
      </c>
      <c r="U313">
        <v>0</v>
      </c>
      <c r="W313" t="str">
        <f>"17:45:55.281"</f>
        <v>17:45:55.281</v>
      </c>
      <c r="X313" t="str">
        <f>"17:45:54.981"</f>
        <v>17:45:54.981</v>
      </c>
      <c r="Y313" t="str">
        <f t="shared" si="41"/>
        <v>A7C771</v>
      </c>
      <c r="Z313">
        <v>0</v>
      </c>
      <c r="AA313">
        <v>0</v>
      </c>
      <c r="AB313">
        <v>2</v>
      </c>
      <c r="AC313">
        <v>0</v>
      </c>
      <c r="AE313">
        <v>0</v>
      </c>
      <c r="AF313">
        <v>8</v>
      </c>
      <c r="AG313">
        <v>3</v>
      </c>
      <c r="AH313">
        <v>0</v>
      </c>
      <c r="AI313">
        <v>9</v>
      </c>
      <c r="AJ313" t="s">
        <v>125</v>
      </c>
      <c r="AK313">
        <v>0</v>
      </c>
      <c r="AL313">
        <v>3</v>
      </c>
      <c r="AM313">
        <v>2</v>
      </c>
      <c r="AN313">
        <v>1</v>
      </c>
      <c r="AO313" t="s">
        <v>763</v>
      </c>
      <c r="AP313">
        <v>42.988621999999999</v>
      </c>
      <c r="AQ313" t="s">
        <v>764</v>
      </c>
      <c r="AR313">
        <v>-77.567017000000007</v>
      </c>
      <c r="AS313">
        <v>25</v>
      </c>
      <c r="AT313">
        <v>2075</v>
      </c>
      <c r="AU313" t="s">
        <v>123</v>
      </c>
      <c r="AV313">
        <v>9</v>
      </c>
      <c r="AW313">
        <v>180</v>
      </c>
      <c r="AX313">
        <v>-384</v>
      </c>
      <c r="AZ313">
        <f t="shared" si="46"/>
        <v>81</v>
      </c>
      <c r="BA313">
        <f t="shared" si="47"/>
        <v>32400</v>
      </c>
      <c r="BB313" s="1">
        <f t="shared" si="48"/>
        <v>180.22485955050706</v>
      </c>
      <c r="BJ313">
        <v>1404</v>
      </c>
      <c r="BK313">
        <v>1</v>
      </c>
      <c r="BL313" t="str">
        <f t="shared" si="42"/>
        <v xml:space="preserve">N600C   </v>
      </c>
      <c r="BM313">
        <v>2</v>
      </c>
      <c r="BO313">
        <v>0</v>
      </c>
      <c r="BP313">
        <v>0</v>
      </c>
      <c r="BQ313">
        <v>0</v>
      </c>
      <c r="BR313">
        <v>2250</v>
      </c>
      <c r="BS313">
        <v>175</v>
      </c>
      <c r="BT313" t="s">
        <v>128</v>
      </c>
      <c r="BU313">
        <v>0</v>
      </c>
      <c r="BV313">
        <v>0</v>
      </c>
      <c r="BW313">
        <v>0</v>
      </c>
      <c r="BX313">
        <v>1</v>
      </c>
      <c r="CA313">
        <v>0</v>
      </c>
      <c r="CB313">
        <v>0</v>
      </c>
      <c r="CC313">
        <v>0</v>
      </c>
      <c r="CM313" t="str">
        <f>"17:45:55.282"</f>
        <v>17:45:55.282</v>
      </c>
      <c r="CN313">
        <v>281757043</v>
      </c>
      <c r="CQ313">
        <v>0</v>
      </c>
      <c r="CR313">
        <v>2496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3</v>
      </c>
      <c r="DB313">
        <v>2</v>
      </c>
      <c r="DC313">
        <v>0</v>
      </c>
      <c r="DD313">
        <v>2</v>
      </c>
      <c r="DE313">
        <v>0</v>
      </c>
      <c r="DF313">
        <v>7</v>
      </c>
      <c r="DG313">
        <v>7</v>
      </c>
      <c r="DH313" t="s">
        <v>124</v>
      </c>
      <c r="DI313">
        <v>71</v>
      </c>
      <c r="DJ313">
        <v>0</v>
      </c>
      <c r="DK313" t="s">
        <v>134</v>
      </c>
      <c r="DL313" t="s">
        <v>135</v>
      </c>
      <c r="DO313">
        <v>10160259</v>
      </c>
      <c r="DQ313">
        <v>0</v>
      </c>
      <c r="DR313">
        <v>0</v>
      </c>
      <c r="DS313">
        <v>1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</row>
    <row r="314" spans="1:131" x14ac:dyDescent="0.35">
      <c r="A314" s="2" t="str">
        <f>"17:45:56.506"</f>
        <v>17:45:56.506</v>
      </c>
      <c r="B314" s="4">
        <f t="shared" si="49"/>
        <v>63956.506000000001</v>
      </c>
      <c r="C314" s="4">
        <f t="shared" si="43"/>
        <v>356.50600000000122</v>
      </c>
      <c r="D314" s="3">
        <f t="shared" si="44"/>
        <v>0.74023733796296298</v>
      </c>
      <c r="E314" s="2">
        <f t="shared" si="45"/>
        <v>0.74023733796296298</v>
      </c>
      <c r="G314" t="str">
        <f t="shared" si="40"/>
        <v>FFDFD7C0</v>
      </c>
      <c r="H314" t="s">
        <v>126</v>
      </c>
      <c r="I314">
        <v>8</v>
      </c>
      <c r="J314">
        <v>1008</v>
      </c>
      <c r="K314" t="s">
        <v>129</v>
      </c>
      <c r="N314" t="s">
        <v>127</v>
      </c>
      <c r="O314">
        <v>0</v>
      </c>
      <c r="P314">
        <v>3</v>
      </c>
      <c r="Q314">
        <v>0</v>
      </c>
      <c r="R314">
        <v>2</v>
      </c>
      <c r="S314">
        <v>1</v>
      </c>
      <c r="T314">
        <v>0</v>
      </c>
      <c r="U314">
        <v>0</v>
      </c>
      <c r="W314" t="str">
        <f>"17:45:56.203"</f>
        <v>17:45:56.203</v>
      </c>
      <c r="X314" t="str">
        <f>"17:45:55.803"</f>
        <v>17:45:55.803</v>
      </c>
      <c r="Y314" t="str">
        <f t="shared" si="41"/>
        <v>A7C771</v>
      </c>
      <c r="Z314">
        <v>0</v>
      </c>
      <c r="AA314">
        <v>0</v>
      </c>
      <c r="AB314">
        <v>2</v>
      </c>
      <c r="AC314">
        <v>0</v>
      </c>
      <c r="AE314">
        <v>0</v>
      </c>
      <c r="AF314">
        <v>8</v>
      </c>
      <c r="AG314">
        <v>3</v>
      </c>
      <c r="AH314">
        <v>0</v>
      </c>
      <c r="AI314">
        <v>9</v>
      </c>
      <c r="AJ314" t="s">
        <v>125</v>
      </c>
      <c r="AK314">
        <v>0</v>
      </c>
      <c r="AL314">
        <v>3</v>
      </c>
      <c r="AM314">
        <v>2</v>
      </c>
      <c r="AN314">
        <v>1</v>
      </c>
      <c r="AO314" t="s">
        <v>765</v>
      </c>
      <c r="AP314">
        <v>42.989373000000001</v>
      </c>
      <c r="AQ314" t="s">
        <v>766</v>
      </c>
      <c r="AR314">
        <v>-77.566996000000003</v>
      </c>
      <c r="AS314">
        <v>25</v>
      </c>
      <c r="AT314">
        <v>2050</v>
      </c>
      <c r="AU314" t="s">
        <v>123</v>
      </c>
      <c r="AV314">
        <v>8</v>
      </c>
      <c r="AW314">
        <v>180</v>
      </c>
      <c r="AX314">
        <v>-384</v>
      </c>
      <c r="AZ314">
        <f t="shared" si="46"/>
        <v>64</v>
      </c>
      <c r="BA314">
        <f t="shared" si="47"/>
        <v>32400</v>
      </c>
      <c r="BB314" s="1">
        <f t="shared" si="48"/>
        <v>180.17769007288334</v>
      </c>
      <c r="BJ314">
        <v>1404</v>
      </c>
      <c r="BK314">
        <v>1</v>
      </c>
      <c r="BL314" t="str">
        <f t="shared" si="42"/>
        <v xml:space="preserve">N600C   </v>
      </c>
      <c r="BM314">
        <v>2</v>
      </c>
      <c r="BO314">
        <v>0</v>
      </c>
      <c r="BP314">
        <v>0</v>
      </c>
      <c r="BQ314">
        <v>0</v>
      </c>
      <c r="BR314">
        <v>2250</v>
      </c>
      <c r="BS314">
        <v>200</v>
      </c>
      <c r="BT314" t="s">
        <v>128</v>
      </c>
      <c r="BU314">
        <v>0</v>
      </c>
      <c r="BV314">
        <v>0</v>
      </c>
      <c r="BW314">
        <v>0</v>
      </c>
      <c r="BX314">
        <v>1</v>
      </c>
      <c r="CA314">
        <v>0</v>
      </c>
      <c r="CB314">
        <v>0</v>
      </c>
      <c r="CC314">
        <v>0</v>
      </c>
      <c r="CM314" t="str">
        <f>"17:45:56.210"</f>
        <v>17:45:56.210</v>
      </c>
      <c r="CN314">
        <v>209933195</v>
      </c>
      <c r="CQ314">
        <v>0</v>
      </c>
      <c r="CR314">
        <v>2496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3</v>
      </c>
      <c r="DB314">
        <v>2</v>
      </c>
      <c r="DC314">
        <v>0</v>
      </c>
      <c r="DD314">
        <v>2</v>
      </c>
      <c r="DE314">
        <v>0</v>
      </c>
      <c r="DF314">
        <v>7</v>
      </c>
      <c r="DG314">
        <v>7</v>
      </c>
      <c r="DH314" t="s">
        <v>124</v>
      </c>
      <c r="DI314">
        <v>407</v>
      </c>
      <c r="DJ314">
        <v>3</v>
      </c>
      <c r="DK314" t="s">
        <v>132</v>
      </c>
      <c r="DL314" t="s">
        <v>133</v>
      </c>
      <c r="DO314">
        <v>1571795</v>
      </c>
      <c r="DQ314">
        <v>0</v>
      </c>
      <c r="DR314">
        <v>0</v>
      </c>
      <c r="DS314">
        <v>1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</row>
    <row r="315" spans="1:131" x14ac:dyDescent="0.35">
      <c r="A315" s="2" t="str">
        <f>"17:45:57.631"</f>
        <v>17:45:57.631</v>
      </c>
      <c r="B315" s="4">
        <f t="shared" si="49"/>
        <v>63957.631000000001</v>
      </c>
      <c r="C315" s="4">
        <f t="shared" si="43"/>
        <v>357.63100000000122</v>
      </c>
      <c r="D315" s="3">
        <f t="shared" si="44"/>
        <v>0.7402503587962963</v>
      </c>
      <c r="E315" s="2">
        <f t="shared" si="45"/>
        <v>0.7402503587962963</v>
      </c>
      <c r="G315" t="str">
        <f t="shared" si="40"/>
        <v>FFDFD7C0</v>
      </c>
      <c r="H315" t="s">
        <v>126</v>
      </c>
      <c r="I315">
        <v>8</v>
      </c>
      <c r="J315">
        <v>1008</v>
      </c>
      <c r="K315" t="s">
        <v>129</v>
      </c>
      <c r="N315" t="s">
        <v>127</v>
      </c>
      <c r="O315">
        <v>0</v>
      </c>
      <c r="P315">
        <v>3</v>
      </c>
      <c r="Q315">
        <v>0</v>
      </c>
      <c r="R315">
        <v>2</v>
      </c>
      <c r="S315">
        <v>1</v>
      </c>
      <c r="T315">
        <v>0</v>
      </c>
      <c r="U315">
        <v>0</v>
      </c>
      <c r="W315" t="str">
        <f>"17:45:57.297"</f>
        <v>17:45:57.297</v>
      </c>
      <c r="X315" t="str">
        <f>"17:45:56.897"</f>
        <v>17:45:56.897</v>
      </c>
      <c r="Y315" t="str">
        <f t="shared" si="41"/>
        <v>A7C771</v>
      </c>
      <c r="Z315">
        <v>0</v>
      </c>
      <c r="AA315">
        <v>0</v>
      </c>
      <c r="AB315">
        <v>2</v>
      </c>
      <c r="AC315">
        <v>0</v>
      </c>
      <c r="AE315">
        <v>0</v>
      </c>
      <c r="AF315">
        <v>8</v>
      </c>
      <c r="AG315">
        <v>3</v>
      </c>
      <c r="AH315">
        <v>0</v>
      </c>
      <c r="AI315">
        <v>9</v>
      </c>
      <c r="AJ315" t="s">
        <v>125</v>
      </c>
      <c r="AK315">
        <v>0</v>
      </c>
      <c r="AL315">
        <v>3</v>
      </c>
      <c r="AM315">
        <v>2</v>
      </c>
      <c r="AN315">
        <v>1</v>
      </c>
      <c r="AO315" t="s">
        <v>767</v>
      </c>
      <c r="AP315">
        <v>42.990296000000001</v>
      </c>
      <c r="AQ315" t="s">
        <v>768</v>
      </c>
      <c r="AR315">
        <v>-77.566952999999998</v>
      </c>
      <c r="AS315">
        <v>25</v>
      </c>
      <c r="AT315">
        <v>2050</v>
      </c>
      <c r="AU315" t="s">
        <v>123</v>
      </c>
      <c r="AV315">
        <v>7</v>
      </c>
      <c r="AW315">
        <v>180</v>
      </c>
      <c r="AX315">
        <v>-320</v>
      </c>
      <c r="AZ315">
        <f t="shared" si="46"/>
        <v>49</v>
      </c>
      <c r="BA315">
        <f t="shared" si="47"/>
        <v>32400</v>
      </c>
      <c r="BB315" s="1">
        <f t="shared" si="48"/>
        <v>180.13605968822566</v>
      </c>
      <c r="BJ315">
        <v>1404</v>
      </c>
      <c r="BK315">
        <v>1</v>
      </c>
      <c r="BL315" t="str">
        <f t="shared" si="42"/>
        <v xml:space="preserve">N600C   </v>
      </c>
      <c r="BM315">
        <v>2</v>
      </c>
      <c r="BO315">
        <v>0</v>
      </c>
      <c r="BP315">
        <v>0</v>
      </c>
      <c r="BQ315">
        <v>0</v>
      </c>
      <c r="BR315">
        <v>2225</v>
      </c>
      <c r="BS315">
        <v>175</v>
      </c>
      <c r="BT315" t="s">
        <v>128</v>
      </c>
      <c r="BU315">
        <v>0</v>
      </c>
      <c r="BV315">
        <v>0</v>
      </c>
      <c r="BW315">
        <v>0</v>
      </c>
      <c r="BX315">
        <v>1</v>
      </c>
      <c r="CA315">
        <v>0</v>
      </c>
      <c r="CB315">
        <v>0</v>
      </c>
      <c r="CC315">
        <v>0</v>
      </c>
      <c r="CM315" t="str">
        <f>"17:45:57.298"</f>
        <v>17:45:57.298</v>
      </c>
      <c r="CN315">
        <v>298140541</v>
      </c>
      <c r="CQ315">
        <v>0</v>
      </c>
      <c r="CR315">
        <v>2496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3</v>
      </c>
      <c r="DB315">
        <v>2</v>
      </c>
      <c r="DC315">
        <v>0</v>
      </c>
      <c r="DD315">
        <v>2</v>
      </c>
      <c r="DE315">
        <v>0</v>
      </c>
      <c r="DF315">
        <v>7</v>
      </c>
      <c r="DG315">
        <v>7</v>
      </c>
      <c r="DH315" t="s">
        <v>124</v>
      </c>
      <c r="DI315">
        <v>407</v>
      </c>
      <c r="DJ315">
        <v>3</v>
      </c>
      <c r="DK315" t="s">
        <v>132</v>
      </c>
      <c r="DL315" t="s">
        <v>133</v>
      </c>
      <c r="DO315">
        <v>1572897</v>
      </c>
      <c r="DQ315">
        <v>0</v>
      </c>
      <c r="DR315">
        <v>0</v>
      </c>
      <c r="DS315">
        <v>1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</row>
    <row r="316" spans="1:131" x14ac:dyDescent="0.35">
      <c r="A316" s="2" t="str">
        <f>"17:45:58.601"</f>
        <v>17:45:58.601</v>
      </c>
      <c r="B316" s="4">
        <f t="shared" si="49"/>
        <v>63958.601000000002</v>
      </c>
      <c r="C316" s="4">
        <f t="shared" si="43"/>
        <v>358.60100000000239</v>
      </c>
      <c r="D316" s="3">
        <f t="shared" si="44"/>
        <v>0.74026158564814815</v>
      </c>
      <c r="E316" s="2">
        <f t="shared" si="45"/>
        <v>0.74026158564814815</v>
      </c>
      <c r="G316" t="str">
        <f t="shared" si="40"/>
        <v>FFDFD7C0</v>
      </c>
      <c r="H316" t="s">
        <v>126</v>
      </c>
      <c r="I316">
        <v>8</v>
      </c>
      <c r="J316">
        <v>1008</v>
      </c>
      <c r="K316" t="s">
        <v>129</v>
      </c>
      <c r="N316" t="s">
        <v>127</v>
      </c>
      <c r="O316">
        <v>0</v>
      </c>
      <c r="P316">
        <v>3</v>
      </c>
      <c r="Q316">
        <v>0</v>
      </c>
      <c r="R316">
        <v>2</v>
      </c>
      <c r="S316">
        <v>1</v>
      </c>
      <c r="T316">
        <v>0</v>
      </c>
      <c r="U316">
        <v>0</v>
      </c>
      <c r="W316" t="str">
        <f>"17:45:58.313"</f>
        <v>17:45:58.313</v>
      </c>
      <c r="X316" t="str">
        <f>"17:45:57.913"</f>
        <v>17:45:57.913</v>
      </c>
      <c r="Y316" t="str">
        <f t="shared" si="41"/>
        <v>A7C771</v>
      </c>
      <c r="Z316">
        <v>0</v>
      </c>
      <c r="AA316">
        <v>0</v>
      </c>
      <c r="AB316">
        <v>2</v>
      </c>
      <c r="AC316">
        <v>0</v>
      </c>
      <c r="AE316">
        <v>0</v>
      </c>
      <c r="AF316">
        <v>8</v>
      </c>
      <c r="AG316">
        <v>3</v>
      </c>
      <c r="AH316">
        <v>0</v>
      </c>
      <c r="AI316">
        <v>9</v>
      </c>
      <c r="AJ316" t="s">
        <v>125</v>
      </c>
      <c r="AK316">
        <v>0</v>
      </c>
      <c r="AL316">
        <v>3</v>
      </c>
      <c r="AM316">
        <v>2</v>
      </c>
      <c r="AN316">
        <v>1</v>
      </c>
      <c r="AO316" t="s">
        <v>769</v>
      </c>
      <c r="AP316">
        <v>42.991132999999998</v>
      </c>
      <c r="AQ316" t="s">
        <v>770</v>
      </c>
      <c r="AR316">
        <v>-77.566867000000002</v>
      </c>
      <c r="AS316">
        <v>25</v>
      </c>
      <c r="AT316">
        <v>2050</v>
      </c>
      <c r="AU316" t="s">
        <v>123</v>
      </c>
      <c r="AV316">
        <v>7</v>
      </c>
      <c r="AW316">
        <v>180</v>
      </c>
      <c r="AX316">
        <v>-320</v>
      </c>
      <c r="AZ316">
        <f t="shared" si="46"/>
        <v>49</v>
      </c>
      <c r="BA316">
        <f t="shared" si="47"/>
        <v>32400</v>
      </c>
      <c r="BB316" s="1">
        <f t="shared" si="48"/>
        <v>180.13605968822566</v>
      </c>
      <c r="BJ316">
        <v>1404</v>
      </c>
      <c r="BK316">
        <v>1</v>
      </c>
      <c r="BL316" t="str">
        <f t="shared" si="42"/>
        <v xml:space="preserve">N600C   </v>
      </c>
      <c r="BM316">
        <v>2</v>
      </c>
      <c r="BO316">
        <v>0</v>
      </c>
      <c r="BP316">
        <v>0</v>
      </c>
      <c r="BQ316">
        <v>0</v>
      </c>
      <c r="BR316">
        <v>2225</v>
      </c>
      <c r="BS316">
        <v>175</v>
      </c>
      <c r="BT316" t="s">
        <v>128</v>
      </c>
      <c r="BU316">
        <v>0</v>
      </c>
      <c r="BV316">
        <v>0</v>
      </c>
      <c r="BW316">
        <v>0</v>
      </c>
      <c r="BX316">
        <v>1</v>
      </c>
      <c r="CA316">
        <v>0</v>
      </c>
      <c r="CB316">
        <v>0</v>
      </c>
      <c r="CC316">
        <v>0</v>
      </c>
      <c r="CM316" t="str">
        <f>"17:45:58.314"</f>
        <v>17:45:58.314</v>
      </c>
      <c r="CN316">
        <v>314329381</v>
      </c>
      <c r="CQ316">
        <v>0</v>
      </c>
      <c r="CR316">
        <v>2496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3</v>
      </c>
      <c r="DB316">
        <v>2</v>
      </c>
      <c r="DC316">
        <v>0</v>
      </c>
      <c r="DD316">
        <v>2</v>
      </c>
      <c r="DE316">
        <v>0</v>
      </c>
      <c r="DF316">
        <v>7</v>
      </c>
      <c r="DG316">
        <v>7</v>
      </c>
      <c r="DH316" t="s">
        <v>124</v>
      </c>
      <c r="DI316">
        <v>71</v>
      </c>
      <c r="DJ316">
        <v>0</v>
      </c>
      <c r="DK316" t="s">
        <v>134</v>
      </c>
      <c r="DL316" t="s">
        <v>135</v>
      </c>
      <c r="DO316">
        <v>10162546</v>
      </c>
      <c r="DQ316">
        <v>0</v>
      </c>
      <c r="DR316">
        <v>0</v>
      </c>
      <c r="DS316">
        <v>1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</row>
    <row r="317" spans="1:131" x14ac:dyDescent="0.35">
      <c r="A317" s="2" t="str">
        <f>"17:45:59.537"</f>
        <v>17:45:59.537</v>
      </c>
      <c r="B317" s="4">
        <f t="shared" si="49"/>
        <v>63959.536999999997</v>
      </c>
      <c r="C317" s="4">
        <f t="shared" si="43"/>
        <v>359.53699999999662</v>
      </c>
      <c r="D317" s="3">
        <f t="shared" si="44"/>
        <v>0.74027241898148144</v>
      </c>
      <c r="E317" s="2">
        <f t="shared" si="45"/>
        <v>0.74027241898148144</v>
      </c>
      <c r="G317" t="str">
        <f t="shared" si="40"/>
        <v>FFDFD7C0</v>
      </c>
      <c r="H317" t="s">
        <v>126</v>
      </c>
      <c r="I317">
        <v>8</v>
      </c>
      <c r="J317">
        <v>1008</v>
      </c>
      <c r="K317" t="s">
        <v>129</v>
      </c>
      <c r="N317" t="s">
        <v>127</v>
      </c>
      <c r="O317">
        <v>0</v>
      </c>
      <c r="P317">
        <v>3</v>
      </c>
      <c r="Q317">
        <v>0</v>
      </c>
      <c r="R317">
        <v>2</v>
      </c>
      <c r="S317">
        <v>1</v>
      </c>
      <c r="T317">
        <v>0</v>
      </c>
      <c r="U317">
        <v>0</v>
      </c>
      <c r="W317" t="str">
        <f>"17:45:59.352"</f>
        <v>17:45:59.352</v>
      </c>
      <c r="X317" t="str">
        <f>"17:45:59.352"</f>
        <v>17:45:59.352</v>
      </c>
      <c r="Y317" t="str">
        <f t="shared" si="41"/>
        <v>A7C771</v>
      </c>
      <c r="Z317">
        <v>0</v>
      </c>
      <c r="AA317">
        <v>0</v>
      </c>
      <c r="AB317">
        <v>2</v>
      </c>
      <c r="AC317">
        <v>0</v>
      </c>
      <c r="AE317">
        <v>0</v>
      </c>
      <c r="AF317">
        <v>8</v>
      </c>
      <c r="AG317">
        <v>3</v>
      </c>
      <c r="AH317">
        <v>0</v>
      </c>
      <c r="AI317">
        <v>9</v>
      </c>
      <c r="AJ317" t="s">
        <v>125</v>
      </c>
      <c r="AK317">
        <v>0</v>
      </c>
      <c r="AL317">
        <v>3</v>
      </c>
      <c r="AM317">
        <v>2</v>
      </c>
      <c r="AN317">
        <v>1</v>
      </c>
      <c r="AO317" t="s">
        <v>771</v>
      </c>
      <c r="AP317">
        <v>42.992055000000001</v>
      </c>
      <c r="AQ317" t="s">
        <v>770</v>
      </c>
      <c r="AR317">
        <v>-77.566867000000002</v>
      </c>
      <c r="AS317">
        <v>25</v>
      </c>
      <c r="AT317">
        <v>2050</v>
      </c>
      <c r="AU317" t="s">
        <v>123</v>
      </c>
      <c r="AV317">
        <v>7</v>
      </c>
      <c r="AW317">
        <v>180</v>
      </c>
      <c r="AX317">
        <v>-256</v>
      </c>
      <c r="AZ317">
        <f t="shared" si="46"/>
        <v>49</v>
      </c>
      <c r="BA317">
        <f t="shared" si="47"/>
        <v>32400</v>
      </c>
      <c r="BB317" s="1">
        <f t="shared" si="48"/>
        <v>180.13605968822566</v>
      </c>
      <c r="BJ317">
        <v>1404</v>
      </c>
      <c r="BK317">
        <v>1</v>
      </c>
      <c r="BL317" t="str">
        <f t="shared" si="42"/>
        <v xml:space="preserve">N600C   </v>
      </c>
      <c r="BM317">
        <v>2</v>
      </c>
      <c r="BO317">
        <v>0</v>
      </c>
      <c r="BP317">
        <v>0</v>
      </c>
      <c r="BQ317">
        <v>0</v>
      </c>
      <c r="BR317">
        <v>2225</v>
      </c>
      <c r="BS317">
        <v>175</v>
      </c>
      <c r="BT317" t="s">
        <v>128</v>
      </c>
      <c r="BU317">
        <v>0</v>
      </c>
      <c r="BV317">
        <v>0</v>
      </c>
      <c r="BW317">
        <v>0</v>
      </c>
      <c r="BX317">
        <v>1</v>
      </c>
      <c r="CA317">
        <v>0</v>
      </c>
      <c r="CB317">
        <v>0</v>
      </c>
      <c r="CC317">
        <v>0</v>
      </c>
      <c r="CM317" t="str">
        <f>"17:45:59.355"</f>
        <v>17:45:59.355</v>
      </c>
      <c r="CN317">
        <v>354513157</v>
      </c>
      <c r="CQ317">
        <v>0</v>
      </c>
      <c r="CR317">
        <v>2496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3</v>
      </c>
      <c r="DB317">
        <v>2</v>
      </c>
      <c r="DC317">
        <v>0</v>
      </c>
      <c r="DD317">
        <v>2</v>
      </c>
      <c r="DE317">
        <v>0</v>
      </c>
      <c r="DF317">
        <v>7</v>
      </c>
      <c r="DG317">
        <v>7</v>
      </c>
      <c r="DH317" t="s">
        <v>124</v>
      </c>
      <c r="DI317">
        <v>71</v>
      </c>
      <c r="DJ317">
        <v>0</v>
      </c>
      <c r="DK317" t="s">
        <v>134</v>
      </c>
      <c r="DL317" t="s">
        <v>135</v>
      </c>
      <c r="DO317">
        <v>10163351</v>
      </c>
      <c r="DQ317">
        <v>0</v>
      </c>
      <c r="DR317">
        <v>0</v>
      </c>
      <c r="DS317">
        <v>1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</row>
    <row r="318" spans="1:131" x14ac:dyDescent="0.35">
      <c r="A318" s="2" t="str">
        <f>"17:46:00.601"</f>
        <v>17:46:00.601</v>
      </c>
      <c r="B318" s="4">
        <f t="shared" si="49"/>
        <v>63960.601000000002</v>
      </c>
      <c r="C318" s="4">
        <f t="shared" si="43"/>
        <v>360.60100000000239</v>
      </c>
      <c r="D318" s="3">
        <f t="shared" si="44"/>
        <v>0.74028473379629633</v>
      </c>
      <c r="E318" s="2">
        <f t="shared" si="45"/>
        <v>0.74028473379629633</v>
      </c>
      <c r="G318" t="str">
        <f t="shared" si="40"/>
        <v>FFDFD7C0</v>
      </c>
      <c r="H318" t="s">
        <v>126</v>
      </c>
      <c r="I318">
        <v>8</v>
      </c>
      <c r="J318">
        <v>1008</v>
      </c>
      <c r="K318" t="s">
        <v>129</v>
      </c>
      <c r="N318" t="s">
        <v>127</v>
      </c>
      <c r="O318">
        <v>0</v>
      </c>
      <c r="P318">
        <v>3</v>
      </c>
      <c r="Q318">
        <v>0</v>
      </c>
      <c r="R318">
        <v>2</v>
      </c>
      <c r="S318">
        <v>1</v>
      </c>
      <c r="T318">
        <v>0</v>
      </c>
      <c r="U318">
        <v>0</v>
      </c>
      <c r="W318" t="str">
        <f>"17:46:00.359"</f>
        <v>17:46:00.359</v>
      </c>
      <c r="X318" t="str">
        <f>"17:45:59.959"</f>
        <v>17:45:59.959</v>
      </c>
      <c r="Y318" t="str">
        <f t="shared" si="41"/>
        <v>A7C771</v>
      </c>
      <c r="Z318">
        <v>0</v>
      </c>
      <c r="AA318">
        <v>0</v>
      </c>
      <c r="AB318">
        <v>2</v>
      </c>
      <c r="AC318">
        <v>0</v>
      </c>
      <c r="AE318">
        <v>0</v>
      </c>
      <c r="AF318">
        <v>8</v>
      </c>
      <c r="AG318">
        <v>3</v>
      </c>
      <c r="AH318">
        <v>0</v>
      </c>
      <c r="AI318">
        <v>9</v>
      </c>
      <c r="AJ318" t="s">
        <v>125</v>
      </c>
      <c r="AK318">
        <v>0</v>
      </c>
      <c r="AL318">
        <v>3</v>
      </c>
      <c r="AM318">
        <v>2</v>
      </c>
      <c r="AN318">
        <v>1</v>
      </c>
      <c r="AO318" t="s">
        <v>772</v>
      </c>
      <c r="AP318">
        <v>42.992891999999998</v>
      </c>
      <c r="AQ318" t="s">
        <v>773</v>
      </c>
      <c r="AR318">
        <v>-77.566802999999993</v>
      </c>
      <c r="AS318">
        <v>25</v>
      </c>
      <c r="AT318">
        <v>2050</v>
      </c>
      <c r="AU318" t="s">
        <v>123</v>
      </c>
      <c r="AV318">
        <v>8</v>
      </c>
      <c r="AW318">
        <v>180</v>
      </c>
      <c r="AX318">
        <v>-256</v>
      </c>
      <c r="AZ318">
        <f t="shared" si="46"/>
        <v>64</v>
      </c>
      <c r="BA318">
        <f t="shared" si="47"/>
        <v>32400</v>
      </c>
      <c r="BB318" s="1">
        <f t="shared" si="48"/>
        <v>180.17769007288334</v>
      </c>
      <c r="BJ318">
        <v>1404</v>
      </c>
      <c r="BK318">
        <v>1</v>
      </c>
      <c r="BL318" t="str">
        <f t="shared" si="42"/>
        <v xml:space="preserve">N600C   </v>
      </c>
      <c r="BM318">
        <v>2</v>
      </c>
      <c r="BO318">
        <v>0</v>
      </c>
      <c r="BP318">
        <v>0</v>
      </c>
      <c r="BQ318">
        <v>0</v>
      </c>
      <c r="BR318">
        <v>2225</v>
      </c>
      <c r="BS318">
        <v>175</v>
      </c>
      <c r="BT318" t="s">
        <v>128</v>
      </c>
      <c r="BU318">
        <v>0</v>
      </c>
      <c r="BV318">
        <v>0</v>
      </c>
      <c r="BW318">
        <v>0</v>
      </c>
      <c r="BX318">
        <v>1</v>
      </c>
      <c r="CA318">
        <v>0</v>
      </c>
      <c r="CB318">
        <v>0</v>
      </c>
      <c r="CC318">
        <v>0</v>
      </c>
      <c r="CM318" t="str">
        <f>"17:46:00.363"</f>
        <v>17:46:00.363</v>
      </c>
      <c r="CN318">
        <v>362698012</v>
      </c>
      <c r="CQ318">
        <v>0</v>
      </c>
      <c r="CR318">
        <v>2496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3</v>
      </c>
      <c r="DB318">
        <v>2</v>
      </c>
      <c r="DC318">
        <v>0</v>
      </c>
      <c r="DD318">
        <v>2</v>
      </c>
      <c r="DE318">
        <v>0</v>
      </c>
      <c r="DF318">
        <v>7</v>
      </c>
      <c r="DG318">
        <v>7</v>
      </c>
      <c r="DH318" t="s">
        <v>124</v>
      </c>
      <c r="DI318">
        <v>71</v>
      </c>
      <c r="DJ318">
        <v>1</v>
      </c>
      <c r="DK318" t="s">
        <v>134</v>
      </c>
      <c r="DL318" t="s">
        <v>135</v>
      </c>
      <c r="DO318">
        <v>11513731</v>
      </c>
      <c r="DQ318">
        <v>0</v>
      </c>
      <c r="DR318">
        <v>0</v>
      </c>
      <c r="DS318">
        <v>1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</row>
    <row r="319" spans="1:131" x14ac:dyDescent="0.35">
      <c r="A319" s="2" t="str">
        <f>"17:46:01.574"</f>
        <v>17:46:01.574</v>
      </c>
      <c r="B319" s="4">
        <f t="shared" si="49"/>
        <v>63961.574000000001</v>
      </c>
      <c r="C319" s="4">
        <f t="shared" si="43"/>
        <v>361.57400000000052</v>
      </c>
      <c r="D319" s="3">
        <f t="shared" si="44"/>
        <v>0.74029599537037039</v>
      </c>
      <c r="E319" s="2">
        <f t="shared" si="45"/>
        <v>0.74029599537037039</v>
      </c>
      <c r="G319" t="str">
        <f t="shared" si="40"/>
        <v>FFDFD7C0</v>
      </c>
      <c r="H319" t="s">
        <v>126</v>
      </c>
      <c r="I319">
        <v>8</v>
      </c>
      <c r="J319">
        <v>1008</v>
      </c>
      <c r="K319" t="s">
        <v>129</v>
      </c>
      <c r="N319" t="s">
        <v>127</v>
      </c>
      <c r="O319">
        <v>0</v>
      </c>
      <c r="P319">
        <v>3</v>
      </c>
      <c r="Q319">
        <v>0</v>
      </c>
      <c r="R319">
        <v>2</v>
      </c>
      <c r="S319">
        <v>1</v>
      </c>
      <c r="T319">
        <v>0</v>
      </c>
      <c r="U319">
        <v>0</v>
      </c>
      <c r="W319" t="str">
        <f>"17:46:01.227"</f>
        <v>17:46:01.227</v>
      </c>
      <c r="X319" t="str">
        <f>"17:46:01.027"</f>
        <v>17:46:01.027</v>
      </c>
      <c r="Y319" t="str">
        <f t="shared" si="41"/>
        <v>A7C771</v>
      </c>
      <c r="Z319">
        <v>0</v>
      </c>
      <c r="AA319">
        <v>0</v>
      </c>
      <c r="AB319">
        <v>2</v>
      </c>
      <c r="AC319">
        <v>0</v>
      </c>
      <c r="AE319">
        <v>0</v>
      </c>
      <c r="AF319">
        <v>8</v>
      </c>
      <c r="AG319">
        <v>3</v>
      </c>
      <c r="AH319">
        <v>0</v>
      </c>
      <c r="AI319">
        <v>9</v>
      </c>
      <c r="AJ319" t="s">
        <v>125</v>
      </c>
      <c r="AK319">
        <v>0</v>
      </c>
      <c r="AL319">
        <v>3</v>
      </c>
      <c r="AM319">
        <v>2</v>
      </c>
      <c r="AN319">
        <v>1</v>
      </c>
      <c r="AO319" t="s">
        <v>774</v>
      </c>
      <c r="AP319">
        <v>42.993578999999997</v>
      </c>
      <c r="AQ319" t="s">
        <v>775</v>
      </c>
      <c r="AR319">
        <v>-77.566738000000001</v>
      </c>
      <c r="AS319">
        <v>25</v>
      </c>
      <c r="AT319">
        <v>2025</v>
      </c>
      <c r="AU319" t="s">
        <v>123</v>
      </c>
      <c r="AV319">
        <v>8</v>
      </c>
      <c r="AW319">
        <v>180</v>
      </c>
      <c r="AX319">
        <v>-256</v>
      </c>
      <c r="AZ319">
        <f t="shared" si="46"/>
        <v>64</v>
      </c>
      <c r="BA319">
        <f t="shared" si="47"/>
        <v>32400</v>
      </c>
      <c r="BB319" s="1">
        <f t="shared" si="48"/>
        <v>180.17769007288334</v>
      </c>
      <c r="BJ319">
        <v>1404</v>
      </c>
      <c r="BK319">
        <v>1</v>
      </c>
      <c r="BL319" t="str">
        <f t="shared" si="42"/>
        <v xml:space="preserve">N600C   </v>
      </c>
      <c r="BM319">
        <v>2</v>
      </c>
      <c r="BO319">
        <v>0</v>
      </c>
      <c r="BP319">
        <v>0</v>
      </c>
      <c r="BQ319">
        <v>0</v>
      </c>
      <c r="BR319">
        <v>2200</v>
      </c>
      <c r="BS319">
        <v>175</v>
      </c>
      <c r="BT319" t="s">
        <v>128</v>
      </c>
      <c r="BU319">
        <v>0</v>
      </c>
      <c r="BV319">
        <v>0</v>
      </c>
      <c r="BW319">
        <v>0</v>
      </c>
      <c r="BX319">
        <v>1</v>
      </c>
      <c r="CA319">
        <v>0</v>
      </c>
      <c r="CB319">
        <v>0</v>
      </c>
      <c r="CC319">
        <v>0</v>
      </c>
      <c r="CM319" t="str">
        <f>"17:46:01.227"</f>
        <v>17:46:01.227</v>
      </c>
      <c r="CN319">
        <v>226856454</v>
      </c>
      <c r="CQ319">
        <v>0</v>
      </c>
      <c r="CR319">
        <v>2496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3</v>
      </c>
      <c r="DB319">
        <v>2</v>
      </c>
      <c r="DC319">
        <v>0</v>
      </c>
      <c r="DD319">
        <v>2</v>
      </c>
      <c r="DE319">
        <v>0</v>
      </c>
      <c r="DF319">
        <v>7</v>
      </c>
      <c r="DG319">
        <v>7</v>
      </c>
      <c r="DH319" t="s">
        <v>124</v>
      </c>
      <c r="DI319">
        <v>71</v>
      </c>
      <c r="DJ319">
        <v>0</v>
      </c>
      <c r="DK319" t="s">
        <v>134</v>
      </c>
      <c r="DL319" t="s">
        <v>135</v>
      </c>
      <c r="DO319">
        <v>10164769</v>
      </c>
      <c r="DQ319">
        <v>0</v>
      </c>
      <c r="DR319">
        <v>0</v>
      </c>
      <c r="DS319">
        <v>1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</row>
    <row r="320" spans="1:131" x14ac:dyDescent="0.35">
      <c r="A320" s="2" t="str">
        <f>"17:46:02.606"</f>
        <v>17:46:02.606</v>
      </c>
      <c r="B320" s="4">
        <f t="shared" si="49"/>
        <v>63962.606</v>
      </c>
      <c r="C320" s="4">
        <f t="shared" si="43"/>
        <v>362.60599999999977</v>
      </c>
      <c r="D320" s="3">
        <f t="shared" si="44"/>
        <v>0.7403079398148148</v>
      </c>
      <c r="E320" s="2">
        <f t="shared" si="45"/>
        <v>0.7403079398148148</v>
      </c>
      <c r="G320" t="str">
        <f t="shared" si="40"/>
        <v>FFDFD7C0</v>
      </c>
      <c r="H320" t="s">
        <v>126</v>
      </c>
      <c r="I320">
        <v>8</v>
      </c>
      <c r="J320">
        <v>1008</v>
      </c>
      <c r="K320" t="s">
        <v>129</v>
      </c>
      <c r="N320" t="s">
        <v>127</v>
      </c>
      <c r="O320">
        <v>0</v>
      </c>
      <c r="P320">
        <v>3</v>
      </c>
      <c r="Q320">
        <v>0</v>
      </c>
      <c r="R320">
        <v>2</v>
      </c>
      <c r="S320">
        <v>1</v>
      </c>
      <c r="T320">
        <v>0</v>
      </c>
      <c r="U320">
        <v>0</v>
      </c>
      <c r="W320" t="str">
        <f>"17:46:02.281"</f>
        <v>17:46:02.281</v>
      </c>
      <c r="X320" t="str">
        <f>"17:46:02.081"</f>
        <v>17:46:02.081</v>
      </c>
      <c r="Y320" t="str">
        <f t="shared" si="41"/>
        <v>A7C771</v>
      </c>
      <c r="Z320">
        <v>0</v>
      </c>
      <c r="AA320">
        <v>0</v>
      </c>
      <c r="AB320">
        <v>2</v>
      </c>
      <c r="AC320">
        <v>0</v>
      </c>
      <c r="AE320">
        <v>0</v>
      </c>
      <c r="AF320">
        <v>8</v>
      </c>
      <c r="AG320">
        <v>3</v>
      </c>
      <c r="AH320">
        <v>0</v>
      </c>
      <c r="AI320">
        <v>9</v>
      </c>
      <c r="AJ320" t="s">
        <v>125</v>
      </c>
      <c r="AK320">
        <v>0</v>
      </c>
      <c r="AL320">
        <v>3</v>
      </c>
      <c r="AM320">
        <v>2</v>
      </c>
      <c r="AN320">
        <v>1</v>
      </c>
      <c r="AO320" t="s">
        <v>776</v>
      </c>
      <c r="AP320">
        <v>42.994480000000003</v>
      </c>
      <c r="AQ320" t="s">
        <v>777</v>
      </c>
      <c r="AR320">
        <v>-77.566674000000006</v>
      </c>
      <c r="AS320">
        <v>25</v>
      </c>
      <c r="AT320">
        <v>2025</v>
      </c>
      <c r="AU320" t="s">
        <v>123</v>
      </c>
      <c r="AV320">
        <v>8</v>
      </c>
      <c r="AW320">
        <v>180</v>
      </c>
      <c r="AX320">
        <v>-256</v>
      </c>
      <c r="AZ320">
        <f t="shared" si="46"/>
        <v>64</v>
      </c>
      <c r="BA320">
        <f t="shared" si="47"/>
        <v>32400</v>
      </c>
      <c r="BB320" s="1">
        <f t="shared" si="48"/>
        <v>180.17769007288334</v>
      </c>
      <c r="BJ320">
        <v>1404</v>
      </c>
      <c r="BK320">
        <v>1</v>
      </c>
      <c r="BL320" t="str">
        <f t="shared" si="42"/>
        <v xml:space="preserve">N600C   </v>
      </c>
      <c r="BM320">
        <v>2</v>
      </c>
      <c r="BO320">
        <v>0</v>
      </c>
      <c r="BP320">
        <v>0</v>
      </c>
      <c r="BQ320">
        <v>0</v>
      </c>
      <c r="BR320">
        <v>2200</v>
      </c>
      <c r="BS320">
        <v>175</v>
      </c>
      <c r="BT320" t="s">
        <v>128</v>
      </c>
      <c r="BU320">
        <v>0</v>
      </c>
      <c r="BV320">
        <v>0</v>
      </c>
      <c r="BW320">
        <v>0</v>
      </c>
      <c r="BX320">
        <v>1</v>
      </c>
      <c r="CA320">
        <v>0</v>
      </c>
      <c r="CB320">
        <v>0</v>
      </c>
      <c r="CC320">
        <v>0</v>
      </c>
      <c r="CM320" t="str">
        <f>"17:46:02.283"</f>
        <v>17:46:02.283</v>
      </c>
      <c r="CN320">
        <v>283049624</v>
      </c>
      <c r="CQ320">
        <v>0</v>
      </c>
      <c r="CR320">
        <v>2496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3</v>
      </c>
      <c r="DB320">
        <v>2</v>
      </c>
      <c r="DC320">
        <v>0</v>
      </c>
      <c r="DD320">
        <v>2</v>
      </c>
      <c r="DE320">
        <v>0</v>
      </c>
      <c r="DF320">
        <v>7</v>
      </c>
      <c r="DG320">
        <v>7</v>
      </c>
      <c r="DH320" t="s">
        <v>124</v>
      </c>
      <c r="DI320">
        <v>71</v>
      </c>
      <c r="DJ320">
        <v>0</v>
      </c>
      <c r="DK320" t="s">
        <v>134</v>
      </c>
      <c r="DL320" t="s">
        <v>135</v>
      </c>
      <c r="DO320">
        <v>10165504</v>
      </c>
      <c r="DQ320">
        <v>0</v>
      </c>
      <c r="DR320">
        <v>0</v>
      </c>
      <c r="DS320">
        <v>1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</row>
    <row r="321" spans="1:131" x14ac:dyDescent="0.35">
      <c r="A321" s="2" t="str">
        <f>"17:46:03.590"</f>
        <v>17:46:03.590</v>
      </c>
      <c r="B321" s="4">
        <f t="shared" si="49"/>
        <v>63963.59</v>
      </c>
      <c r="C321" s="4">
        <f t="shared" si="43"/>
        <v>363.58999999999651</v>
      </c>
      <c r="D321" s="3">
        <f t="shared" si="44"/>
        <v>0.74031932870370365</v>
      </c>
      <c r="E321" s="2">
        <f t="shared" si="45"/>
        <v>0.74031932870370365</v>
      </c>
      <c r="G321" t="str">
        <f t="shared" si="40"/>
        <v>FFDFD7C0</v>
      </c>
      <c r="H321" t="s">
        <v>126</v>
      </c>
      <c r="I321">
        <v>8</v>
      </c>
      <c r="J321">
        <v>1008</v>
      </c>
      <c r="K321" t="s">
        <v>129</v>
      </c>
      <c r="N321" t="s">
        <v>127</v>
      </c>
      <c r="O321">
        <v>0</v>
      </c>
      <c r="P321">
        <v>3</v>
      </c>
      <c r="Q321">
        <v>0</v>
      </c>
      <c r="R321">
        <v>2</v>
      </c>
      <c r="S321">
        <v>1</v>
      </c>
      <c r="T321">
        <v>0</v>
      </c>
      <c r="U321">
        <v>0</v>
      </c>
      <c r="W321" t="str">
        <f>"17:46:03.359"</f>
        <v>17:46:03.359</v>
      </c>
      <c r="X321" t="str">
        <f>"17:46:03.059"</f>
        <v>17:46:03.059</v>
      </c>
      <c r="Y321" t="str">
        <f t="shared" si="41"/>
        <v>A7C771</v>
      </c>
      <c r="Z321">
        <v>0</v>
      </c>
      <c r="AA321">
        <v>0</v>
      </c>
      <c r="AB321">
        <v>2</v>
      </c>
      <c r="AC321">
        <v>0</v>
      </c>
      <c r="AE321">
        <v>0</v>
      </c>
      <c r="AF321">
        <v>8</v>
      </c>
      <c r="AG321">
        <v>3</v>
      </c>
      <c r="AH321">
        <v>0</v>
      </c>
      <c r="AI321">
        <v>9</v>
      </c>
      <c r="AJ321" t="s">
        <v>125</v>
      </c>
      <c r="AK321">
        <v>0</v>
      </c>
      <c r="AL321">
        <v>3</v>
      </c>
      <c r="AM321">
        <v>2</v>
      </c>
      <c r="AN321">
        <v>1</v>
      </c>
      <c r="AO321" t="s">
        <v>778</v>
      </c>
      <c r="AP321">
        <v>42.995403000000003</v>
      </c>
      <c r="AQ321" t="s">
        <v>779</v>
      </c>
      <c r="AR321">
        <v>-77.566609</v>
      </c>
      <c r="AS321">
        <v>25</v>
      </c>
      <c r="AT321">
        <v>2025</v>
      </c>
      <c r="AU321" t="s">
        <v>123</v>
      </c>
      <c r="AV321">
        <v>8</v>
      </c>
      <c r="AW321">
        <v>180</v>
      </c>
      <c r="AX321">
        <v>-256</v>
      </c>
      <c r="AZ321">
        <f t="shared" si="46"/>
        <v>64</v>
      </c>
      <c r="BA321">
        <f t="shared" si="47"/>
        <v>32400</v>
      </c>
      <c r="BB321" s="1">
        <f t="shared" si="48"/>
        <v>180.17769007288334</v>
      </c>
      <c r="BJ321">
        <v>1404</v>
      </c>
      <c r="BK321">
        <v>1</v>
      </c>
      <c r="BL321" t="str">
        <f t="shared" si="42"/>
        <v xml:space="preserve">N600C   </v>
      </c>
      <c r="BM321">
        <v>2</v>
      </c>
      <c r="BO321">
        <v>0</v>
      </c>
      <c r="BP321">
        <v>0</v>
      </c>
      <c r="BQ321">
        <v>0</v>
      </c>
      <c r="BR321">
        <v>2200</v>
      </c>
      <c r="BS321">
        <v>175</v>
      </c>
      <c r="BT321" t="s">
        <v>128</v>
      </c>
      <c r="BU321">
        <v>0</v>
      </c>
      <c r="BV321">
        <v>0</v>
      </c>
      <c r="BW321">
        <v>0</v>
      </c>
      <c r="BX321">
        <v>1</v>
      </c>
      <c r="CA321">
        <v>0</v>
      </c>
      <c r="CB321">
        <v>0</v>
      </c>
      <c r="CC321">
        <v>0</v>
      </c>
      <c r="CM321" t="str">
        <f>"17:46:03.363"</f>
        <v>17:46:03.363</v>
      </c>
      <c r="CN321">
        <v>363245394</v>
      </c>
      <c r="CQ321">
        <v>0</v>
      </c>
      <c r="CR321">
        <v>2496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3</v>
      </c>
      <c r="DB321">
        <v>2</v>
      </c>
      <c r="DC321">
        <v>0</v>
      </c>
      <c r="DD321">
        <v>2</v>
      </c>
      <c r="DE321">
        <v>0</v>
      </c>
      <c r="DF321">
        <v>7</v>
      </c>
      <c r="DG321">
        <v>7</v>
      </c>
      <c r="DH321" t="s">
        <v>124</v>
      </c>
      <c r="DI321">
        <v>407</v>
      </c>
      <c r="DJ321">
        <v>3</v>
      </c>
      <c r="DK321" t="s">
        <v>132</v>
      </c>
      <c r="DL321" t="s">
        <v>133</v>
      </c>
      <c r="DO321">
        <v>1579198</v>
      </c>
      <c r="DQ321">
        <v>0</v>
      </c>
      <c r="DR321">
        <v>0</v>
      </c>
      <c r="DS321">
        <v>1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</row>
    <row r="322" spans="1:131" x14ac:dyDescent="0.35">
      <c r="A322" s="2" t="str">
        <f>"17:46:04.677"</f>
        <v>17:46:04.677</v>
      </c>
      <c r="B322" s="4">
        <f t="shared" si="49"/>
        <v>63964.677000000003</v>
      </c>
      <c r="C322" s="4">
        <f t="shared" si="43"/>
        <v>364.67700000000332</v>
      </c>
      <c r="D322" s="3">
        <f t="shared" si="44"/>
        <v>0.74033190972222229</v>
      </c>
      <c r="E322" s="2">
        <f t="shared" si="45"/>
        <v>0.74033190972222229</v>
      </c>
      <c r="G322" t="str">
        <f t="shared" si="40"/>
        <v>FFDFD7C0</v>
      </c>
      <c r="H322" t="s">
        <v>126</v>
      </c>
      <c r="I322">
        <v>8</v>
      </c>
      <c r="J322">
        <v>1008</v>
      </c>
      <c r="K322" t="s">
        <v>129</v>
      </c>
      <c r="N322" t="s">
        <v>127</v>
      </c>
      <c r="O322">
        <v>0</v>
      </c>
      <c r="P322">
        <v>3</v>
      </c>
      <c r="Q322">
        <v>0</v>
      </c>
      <c r="R322">
        <v>2</v>
      </c>
      <c r="S322">
        <v>1</v>
      </c>
      <c r="T322">
        <v>0</v>
      </c>
      <c r="U322">
        <v>0</v>
      </c>
      <c r="W322" t="str">
        <f>"17:46:04.336"</f>
        <v>17:46:04.336</v>
      </c>
      <c r="X322" t="str">
        <f>"17:46:04.236"</f>
        <v>17:46:04.236</v>
      </c>
      <c r="Y322" t="str">
        <f t="shared" si="41"/>
        <v>A7C771</v>
      </c>
      <c r="Z322">
        <v>0</v>
      </c>
      <c r="AA322">
        <v>0</v>
      </c>
      <c r="AB322">
        <v>2</v>
      </c>
      <c r="AC322">
        <v>0</v>
      </c>
      <c r="AE322">
        <v>0</v>
      </c>
      <c r="AF322">
        <v>8</v>
      </c>
      <c r="AG322">
        <v>3</v>
      </c>
      <c r="AH322">
        <v>0</v>
      </c>
      <c r="AI322">
        <v>9</v>
      </c>
      <c r="AJ322" t="s">
        <v>125</v>
      </c>
      <c r="AK322">
        <v>0</v>
      </c>
      <c r="AL322">
        <v>3</v>
      </c>
      <c r="AM322">
        <v>2</v>
      </c>
      <c r="AN322">
        <v>1</v>
      </c>
      <c r="AO322" t="s">
        <v>780</v>
      </c>
      <c r="AP322">
        <v>42.99624</v>
      </c>
      <c r="AQ322" t="s">
        <v>779</v>
      </c>
      <c r="AR322">
        <v>-77.566609</v>
      </c>
      <c r="AS322">
        <v>25</v>
      </c>
      <c r="AT322">
        <v>2025</v>
      </c>
      <c r="AU322" t="s">
        <v>123</v>
      </c>
      <c r="AV322">
        <v>8</v>
      </c>
      <c r="AW322">
        <v>180</v>
      </c>
      <c r="AX322">
        <v>-320</v>
      </c>
      <c r="AZ322">
        <f t="shared" si="46"/>
        <v>64</v>
      </c>
      <c r="BA322">
        <f t="shared" si="47"/>
        <v>32400</v>
      </c>
      <c r="BB322" s="1">
        <f t="shared" si="48"/>
        <v>180.17769007288334</v>
      </c>
      <c r="BJ322">
        <v>1404</v>
      </c>
      <c r="BK322">
        <v>1</v>
      </c>
      <c r="BL322" t="str">
        <f t="shared" si="42"/>
        <v xml:space="preserve">N600C   </v>
      </c>
      <c r="BM322">
        <v>2</v>
      </c>
      <c r="BO322">
        <v>0</v>
      </c>
      <c r="BP322">
        <v>0</v>
      </c>
      <c r="BQ322">
        <v>0</v>
      </c>
      <c r="BR322">
        <v>2200</v>
      </c>
      <c r="BS322">
        <v>175</v>
      </c>
      <c r="BT322" t="s">
        <v>128</v>
      </c>
      <c r="BU322">
        <v>0</v>
      </c>
      <c r="BV322">
        <v>0</v>
      </c>
      <c r="BW322">
        <v>0</v>
      </c>
      <c r="BX322">
        <v>1</v>
      </c>
      <c r="CA322">
        <v>0</v>
      </c>
      <c r="CB322">
        <v>0</v>
      </c>
      <c r="CC322">
        <v>0</v>
      </c>
      <c r="CM322" t="str">
        <f>"17:46:04.339"</f>
        <v>17:46:04.339</v>
      </c>
      <c r="CN322">
        <v>339424319</v>
      </c>
      <c r="CQ322">
        <v>0</v>
      </c>
      <c r="CR322">
        <v>2496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3</v>
      </c>
      <c r="DB322">
        <v>2</v>
      </c>
      <c r="DC322">
        <v>0</v>
      </c>
      <c r="DD322">
        <v>2</v>
      </c>
      <c r="DE322">
        <v>0</v>
      </c>
      <c r="DF322">
        <v>7</v>
      </c>
      <c r="DG322">
        <v>7</v>
      </c>
      <c r="DH322" t="s">
        <v>124</v>
      </c>
      <c r="DI322">
        <v>71</v>
      </c>
      <c r="DJ322">
        <v>1</v>
      </c>
      <c r="DK322" t="s">
        <v>134</v>
      </c>
      <c r="DL322" t="s">
        <v>135</v>
      </c>
      <c r="DO322">
        <v>11517182</v>
      </c>
      <c r="DQ322">
        <v>0</v>
      </c>
      <c r="DR322">
        <v>0</v>
      </c>
      <c r="DS322">
        <v>1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</row>
    <row r="323" spans="1:131" x14ac:dyDescent="0.35">
      <c r="A323" s="2" t="str">
        <f>"17:46:05.607"</f>
        <v>17:46:05.607</v>
      </c>
      <c r="B323" s="4">
        <f t="shared" si="49"/>
        <v>63965.607000000004</v>
      </c>
      <c r="C323" s="4">
        <f t="shared" si="43"/>
        <v>365.60700000000361</v>
      </c>
      <c r="D323" s="3">
        <f t="shared" si="44"/>
        <v>0.74034267361111117</v>
      </c>
      <c r="E323" s="2">
        <f t="shared" si="45"/>
        <v>0.74034267361111117</v>
      </c>
      <c r="G323" t="str">
        <f t="shared" ref="G323:G386" si="50">"FFDFD7C0"</f>
        <v>FFDFD7C0</v>
      </c>
      <c r="H323" t="s">
        <v>126</v>
      </c>
      <c r="I323">
        <v>8</v>
      </c>
      <c r="J323">
        <v>1008</v>
      </c>
      <c r="K323" t="s">
        <v>129</v>
      </c>
      <c r="N323" t="s">
        <v>127</v>
      </c>
      <c r="O323">
        <v>0</v>
      </c>
      <c r="P323">
        <v>3</v>
      </c>
      <c r="Q323">
        <v>0</v>
      </c>
      <c r="R323">
        <v>2</v>
      </c>
      <c r="S323">
        <v>1</v>
      </c>
      <c r="T323">
        <v>0</v>
      </c>
      <c r="U323">
        <v>0</v>
      </c>
      <c r="W323" t="str">
        <f>"17:46:05.344"</f>
        <v>17:46:05.344</v>
      </c>
      <c r="X323" t="str">
        <f>"17:46:05.244"</f>
        <v>17:46:05.244</v>
      </c>
      <c r="Y323" t="str">
        <f t="shared" ref="Y323:Y386" si="51">"A7C771"</f>
        <v>A7C771</v>
      </c>
      <c r="Z323">
        <v>0</v>
      </c>
      <c r="AA323">
        <v>0</v>
      </c>
      <c r="AB323">
        <v>2</v>
      </c>
      <c r="AC323">
        <v>0</v>
      </c>
      <c r="AE323">
        <v>0</v>
      </c>
      <c r="AF323">
        <v>8</v>
      </c>
      <c r="AG323">
        <v>3</v>
      </c>
      <c r="AH323">
        <v>0</v>
      </c>
      <c r="AI323">
        <v>9</v>
      </c>
      <c r="AJ323" t="s">
        <v>125</v>
      </c>
      <c r="AK323">
        <v>0</v>
      </c>
      <c r="AL323">
        <v>3</v>
      </c>
      <c r="AM323">
        <v>2</v>
      </c>
      <c r="AN323">
        <v>1</v>
      </c>
      <c r="AO323" t="s">
        <v>781</v>
      </c>
      <c r="AP323">
        <v>42.997055000000003</v>
      </c>
      <c r="AQ323" t="s">
        <v>782</v>
      </c>
      <c r="AR323">
        <v>-77.566545000000005</v>
      </c>
      <c r="AS323">
        <v>25</v>
      </c>
      <c r="AT323">
        <v>2025</v>
      </c>
      <c r="AU323" t="s">
        <v>123</v>
      </c>
      <c r="AV323">
        <v>9</v>
      </c>
      <c r="AW323">
        <v>180</v>
      </c>
      <c r="AX323">
        <v>-192</v>
      </c>
      <c r="AZ323">
        <f t="shared" si="46"/>
        <v>81</v>
      </c>
      <c r="BA323">
        <f t="shared" si="47"/>
        <v>32400</v>
      </c>
      <c r="BB323" s="1">
        <f t="shared" si="48"/>
        <v>180.22485955050706</v>
      </c>
      <c r="BJ323">
        <v>1404</v>
      </c>
      <c r="BK323">
        <v>1</v>
      </c>
      <c r="BL323" t="str">
        <f t="shared" ref="BL323:BL386" si="52">"N600C   "</f>
        <v xml:space="preserve">N600C   </v>
      </c>
      <c r="BM323">
        <v>2</v>
      </c>
      <c r="BO323">
        <v>0</v>
      </c>
      <c r="BP323">
        <v>0</v>
      </c>
      <c r="BQ323">
        <v>0</v>
      </c>
      <c r="BR323">
        <v>2200</v>
      </c>
      <c r="BS323">
        <v>175</v>
      </c>
      <c r="BT323" t="s">
        <v>128</v>
      </c>
      <c r="BU323">
        <v>0</v>
      </c>
      <c r="BV323">
        <v>0</v>
      </c>
      <c r="BW323">
        <v>0</v>
      </c>
      <c r="BX323">
        <v>1</v>
      </c>
      <c r="CA323">
        <v>0</v>
      </c>
      <c r="CB323">
        <v>0</v>
      </c>
      <c r="CC323">
        <v>0</v>
      </c>
      <c r="CM323" t="str">
        <f>"17:46:05.348"</f>
        <v>17:46:05.348</v>
      </c>
      <c r="CN323">
        <v>347606422</v>
      </c>
      <c r="CQ323">
        <v>0</v>
      </c>
      <c r="CR323">
        <v>2496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3</v>
      </c>
      <c r="DB323">
        <v>2</v>
      </c>
      <c r="DC323">
        <v>0</v>
      </c>
      <c r="DD323">
        <v>2</v>
      </c>
      <c r="DE323">
        <v>0</v>
      </c>
      <c r="DF323">
        <v>7</v>
      </c>
      <c r="DG323">
        <v>7</v>
      </c>
      <c r="DH323" t="s">
        <v>124</v>
      </c>
      <c r="DI323">
        <v>71</v>
      </c>
      <c r="DJ323">
        <v>0</v>
      </c>
      <c r="DK323" t="s">
        <v>134</v>
      </c>
      <c r="DL323" t="s">
        <v>135</v>
      </c>
      <c r="DO323">
        <v>10167725</v>
      </c>
      <c r="DQ323">
        <v>0</v>
      </c>
      <c r="DR323">
        <v>0</v>
      </c>
      <c r="DS323">
        <v>1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</row>
    <row r="324" spans="1:131" x14ac:dyDescent="0.35">
      <c r="A324" s="2" t="str">
        <f>"17:46:06.621"</f>
        <v>17:46:06.621</v>
      </c>
      <c r="B324" s="4">
        <f t="shared" si="49"/>
        <v>63966.620999999999</v>
      </c>
      <c r="C324" s="4">
        <f t="shared" ref="C324:C387" si="53">B324-63600</f>
        <v>366.62099999999919</v>
      </c>
      <c r="D324" s="3">
        <f t="shared" ref="D324:D387" si="54">E324</f>
        <v>0.74035440972222222</v>
      </c>
      <c r="E324" s="2">
        <f t="shared" ref="E324:E387" si="55">TIMEVALUE(A324)</f>
        <v>0.74035440972222222</v>
      </c>
      <c r="G324" t="str">
        <f t="shared" si="50"/>
        <v>FFDFD7C0</v>
      </c>
      <c r="H324" t="s">
        <v>126</v>
      </c>
      <c r="I324">
        <v>8</v>
      </c>
      <c r="J324">
        <v>1008</v>
      </c>
      <c r="K324" t="s">
        <v>129</v>
      </c>
      <c r="N324" t="s">
        <v>127</v>
      </c>
      <c r="O324">
        <v>0</v>
      </c>
      <c r="P324">
        <v>3</v>
      </c>
      <c r="Q324">
        <v>0</v>
      </c>
      <c r="R324">
        <v>2</v>
      </c>
      <c r="S324">
        <v>1</v>
      </c>
      <c r="T324">
        <v>0</v>
      </c>
      <c r="U324">
        <v>0</v>
      </c>
      <c r="W324" t="str">
        <f>"17:46:06.258"</f>
        <v>17:46:06.258</v>
      </c>
      <c r="X324" t="str">
        <f>"17:46:06.258"</f>
        <v>17:46:06.258</v>
      </c>
      <c r="Y324" t="str">
        <f t="shared" si="51"/>
        <v>A7C771</v>
      </c>
      <c r="Z324">
        <v>0</v>
      </c>
      <c r="AA324">
        <v>0</v>
      </c>
      <c r="AB324">
        <v>2</v>
      </c>
      <c r="AC324">
        <v>0</v>
      </c>
      <c r="AE324">
        <v>0</v>
      </c>
      <c r="AF324">
        <v>8</v>
      </c>
      <c r="AG324">
        <v>3</v>
      </c>
      <c r="AH324">
        <v>0</v>
      </c>
      <c r="AI324">
        <v>9</v>
      </c>
      <c r="AJ324" t="s">
        <v>125</v>
      </c>
      <c r="AK324">
        <v>0</v>
      </c>
      <c r="AL324">
        <v>3</v>
      </c>
      <c r="AM324">
        <v>2</v>
      </c>
      <c r="AN324">
        <v>1</v>
      </c>
      <c r="AO324" t="s">
        <v>783</v>
      </c>
      <c r="AP324">
        <v>42.997785</v>
      </c>
      <c r="AQ324" t="s">
        <v>784</v>
      </c>
      <c r="AR324">
        <v>-77.566480999999996</v>
      </c>
      <c r="AS324">
        <v>25</v>
      </c>
      <c r="AT324">
        <v>2025</v>
      </c>
      <c r="AU324" t="s">
        <v>123</v>
      </c>
      <c r="AV324">
        <v>9</v>
      </c>
      <c r="AW324">
        <v>180</v>
      </c>
      <c r="AX324">
        <v>-192</v>
      </c>
      <c r="AZ324">
        <f t="shared" ref="AZ324:AZ387" si="56">(AV324)^2</f>
        <v>81</v>
      </c>
      <c r="BA324">
        <f t="shared" ref="BA324:BA387" si="57">(AW324)^2</f>
        <v>32400</v>
      </c>
      <c r="BB324" s="1">
        <f t="shared" ref="BB324:BB387" si="58">SQRT(AZ324+BA324)</f>
        <v>180.22485955050706</v>
      </c>
      <c r="BJ324">
        <v>1404</v>
      </c>
      <c r="BK324">
        <v>1</v>
      </c>
      <c r="BL324" t="str">
        <f t="shared" si="52"/>
        <v xml:space="preserve">N600C   </v>
      </c>
      <c r="BM324">
        <v>2</v>
      </c>
      <c r="BO324">
        <v>0</v>
      </c>
      <c r="BP324">
        <v>0</v>
      </c>
      <c r="BQ324">
        <v>0</v>
      </c>
      <c r="BR324">
        <v>2200</v>
      </c>
      <c r="BS324">
        <v>175</v>
      </c>
      <c r="BT324" t="s">
        <v>128</v>
      </c>
      <c r="BU324">
        <v>0</v>
      </c>
      <c r="BV324">
        <v>0</v>
      </c>
      <c r="BW324">
        <v>0</v>
      </c>
      <c r="BX324">
        <v>1</v>
      </c>
      <c r="CA324">
        <v>0</v>
      </c>
      <c r="CB324">
        <v>0</v>
      </c>
      <c r="CC324">
        <v>0</v>
      </c>
      <c r="CM324" t="str">
        <f>"17:46:06.260"</f>
        <v>17:46:06.260</v>
      </c>
      <c r="CN324">
        <v>259775672</v>
      </c>
      <c r="CQ324">
        <v>0</v>
      </c>
      <c r="CR324">
        <v>2496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3</v>
      </c>
      <c r="DB324">
        <v>2</v>
      </c>
      <c r="DC324">
        <v>0</v>
      </c>
      <c r="DD324">
        <v>2</v>
      </c>
      <c r="DE324">
        <v>0</v>
      </c>
      <c r="DF324">
        <v>7</v>
      </c>
      <c r="DG324">
        <v>7</v>
      </c>
      <c r="DH324" t="s">
        <v>124</v>
      </c>
      <c r="DI324">
        <v>407</v>
      </c>
      <c r="DJ324">
        <v>3</v>
      </c>
      <c r="DK324" t="s">
        <v>132</v>
      </c>
      <c r="DL324" t="s">
        <v>133</v>
      </c>
      <c r="DO324">
        <v>1581958</v>
      </c>
      <c r="DQ324">
        <v>0</v>
      </c>
      <c r="DR324">
        <v>0</v>
      </c>
      <c r="DS324">
        <v>1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</row>
    <row r="325" spans="1:131" x14ac:dyDescent="0.35">
      <c r="A325" s="2" t="str">
        <f>"17:46:07.652"</f>
        <v>17:46:07.652</v>
      </c>
      <c r="B325" s="4">
        <f t="shared" si="49"/>
        <v>63967.652000000002</v>
      </c>
      <c r="C325" s="4">
        <f t="shared" si="53"/>
        <v>367.65200000000186</v>
      </c>
      <c r="D325" s="3">
        <f t="shared" si="54"/>
        <v>0.7403663425925926</v>
      </c>
      <c r="E325" s="2">
        <f t="shared" si="55"/>
        <v>0.7403663425925926</v>
      </c>
      <c r="G325" t="str">
        <f t="shared" si="50"/>
        <v>FFDFD7C0</v>
      </c>
      <c r="H325" t="s">
        <v>126</v>
      </c>
      <c r="I325">
        <v>8</v>
      </c>
      <c r="J325">
        <v>1008</v>
      </c>
      <c r="K325" t="s">
        <v>129</v>
      </c>
      <c r="N325" t="s">
        <v>127</v>
      </c>
      <c r="O325">
        <v>0</v>
      </c>
      <c r="P325">
        <v>3</v>
      </c>
      <c r="Q325">
        <v>0</v>
      </c>
      <c r="R325">
        <v>2</v>
      </c>
      <c r="S325">
        <v>1</v>
      </c>
      <c r="T325">
        <v>0</v>
      </c>
      <c r="U325">
        <v>0</v>
      </c>
      <c r="W325" t="str">
        <f>"17:46:07.289"</f>
        <v>17:46:07.289</v>
      </c>
      <c r="X325" t="str">
        <f>"17:46:07.189"</f>
        <v>17:46:07.189</v>
      </c>
      <c r="Y325" t="str">
        <f t="shared" si="51"/>
        <v>A7C771</v>
      </c>
      <c r="Z325">
        <v>0</v>
      </c>
      <c r="AA325">
        <v>0</v>
      </c>
      <c r="AB325">
        <v>2</v>
      </c>
      <c r="AC325">
        <v>0</v>
      </c>
      <c r="AE325">
        <v>0</v>
      </c>
      <c r="AF325">
        <v>8</v>
      </c>
      <c r="AG325">
        <v>3</v>
      </c>
      <c r="AH325">
        <v>0</v>
      </c>
      <c r="AI325">
        <v>9</v>
      </c>
      <c r="AJ325" t="s">
        <v>125</v>
      </c>
      <c r="AK325">
        <v>0</v>
      </c>
      <c r="AL325">
        <v>3</v>
      </c>
      <c r="AM325">
        <v>2</v>
      </c>
      <c r="AN325">
        <v>1</v>
      </c>
      <c r="AO325" t="s">
        <v>785</v>
      </c>
      <c r="AP325">
        <v>42.998621</v>
      </c>
      <c r="AQ325" t="s">
        <v>786</v>
      </c>
      <c r="AR325">
        <v>-77.566416000000004</v>
      </c>
      <c r="AS325">
        <v>25</v>
      </c>
      <c r="AT325">
        <v>2025</v>
      </c>
      <c r="AU325" t="s">
        <v>123</v>
      </c>
      <c r="AV325">
        <v>8</v>
      </c>
      <c r="AW325">
        <v>180</v>
      </c>
      <c r="AX325">
        <v>-64</v>
      </c>
      <c r="AZ325">
        <f t="shared" si="56"/>
        <v>64</v>
      </c>
      <c r="BA325">
        <f t="shared" si="57"/>
        <v>32400</v>
      </c>
      <c r="BB325" s="1">
        <f t="shared" si="58"/>
        <v>180.17769007288334</v>
      </c>
      <c r="BJ325">
        <v>1404</v>
      </c>
      <c r="BK325">
        <v>1</v>
      </c>
      <c r="BL325" t="str">
        <f t="shared" si="52"/>
        <v xml:space="preserve">N600C   </v>
      </c>
      <c r="BM325">
        <v>2</v>
      </c>
      <c r="BO325">
        <v>0</v>
      </c>
      <c r="BP325">
        <v>0</v>
      </c>
      <c r="BQ325">
        <v>0</v>
      </c>
      <c r="BR325">
        <v>2200</v>
      </c>
      <c r="BS325">
        <v>175</v>
      </c>
      <c r="BT325" t="s">
        <v>128</v>
      </c>
      <c r="BU325">
        <v>0</v>
      </c>
      <c r="BV325">
        <v>0</v>
      </c>
      <c r="BW325">
        <v>0</v>
      </c>
      <c r="BX325">
        <v>1</v>
      </c>
      <c r="CA325">
        <v>0</v>
      </c>
      <c r="CB325">
        <v>0</v>
      </c>
      <c r="CC325">
        <v>0</v>
      </c>
      <c r="CM325" t="str">
        <f>"17:46:07.292"</f>
        <v>17:46:07.292</v>
      </c>
      <c r="CN325">
        <v>292017884</v>
      </c>
      <c r="CQ325">
        <v>0</v>
      </c>
      <c r="CR325">
        <v>2496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3</v>
      </c>
      <c r="DB325">
        <v>2</v>
      </c>
      <c r="DC325">
        <v>0</v>
      </c>
      <c r="DD325">
        <v>2</v>
      </c>
      <c r="DE325">
        <v>0</v>
      </c>
      <c r="DF325">
        <v>7</v>
      </c>
      <c r="DG325">
        <v>7</v>
      </c>
      <c r="DH325" t="s">
        <v>124</v>
      </c>
      <c r="DI325">
        <v>407</v>
      </c>
      <c r="DJ325">
        <v>3</v>
      </c>
      <c r="DK325" t="s">
        <v>132</v>
      </c>
      <c r="DL325" t="s">
        <v>133</v>
      </c>
      <c r="DO325">
        <v>1582997</v>
      </c>
      <c r="DQ325">
        <v>0</v>
      </c>
      <c r="DR325">
        <v>0</v>
      </c>
      <c r="DS325">
        <v>1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</row>
    <row r="326" spans="1:131" x14ac:dyDescent="0.35">
      <c r="A326" s="2" t="str">
        <f>"17:46:08.387"</f>
        <v>17:46:08.387</v>
      </c>
      <c r="B326" s="4">
        <f t="shared" si="49"/>
        <v>63968.387000000002</v>
      </c>
      <c r="C326" s="4">
        <f t="shared" si="53"/>
        <v>368.38700000000244</v>
      </c>
      <c r="D326" s="3">
        <f t="shared" si="54"/>
        <v>0.74037484953703703</v>
      </c>
      <c r="E326" s="2">
        <f t="shared" si="55"/>
        <v>0.74037484953703703</v>
      </c>
      <c r="G326" t="str">
        <f t="shared" si="50"/>
        <v>FFDFD7C0</v>
      </c>
      <c r="H326" t="s">
        <v>126</v>
      </c>
      <c r="I326">
        <v>8</v>
      </c>
      <c r="J326">
        <v>1008</v>
      </c>
      <c r="K326" t="s">
        <v>129</v>
      </c>
      <c r="N326" t="s">
        <v>127</v>
      </c>
      <c r="O326">
        <v>0</v>
      </c>
      <c r="P326">
        <v>3</v>
      </c>
      <c r="Q326">
        <v>0</v>
      </c>
      <c r="R326">
        <v>2</v>
      </c>
      <c r="S326">
        <v>1</v>
      </c>
      <c r="T326">
        <v>0</v>
      </c>
      <c r="U326">
        <v>0</v>
      </c>
      <c r="W326" t="str">
        <f>"17:46:08.117"</f>
        <v>17:46:08.117</v>
      </c>
      <c r="X326" t="str">
        <f>"17:46:07.717"</f>
        <v>17:46:07.717</v>
      </c>
      <c r="Y326" t="str">
        <f t="shared" si="51"/>
        <v>A7C771</v>
      </c>
      <c r="Z326">
        <v>0</v>
      </c>
      <c r="AA326">
        <v>0</v>
      </c>
      <c r="AB326">
        <v>2</v>
      </c>
      <c r="AC326">
        <v>0</v>
      </c>
      <c r="AE326">
        <v>0</v>
      </c>
      <c r="AF326">
        <v>8</v>
      </c>
      <c r="AG326">
        <v>3</v>
      </c>
      <c r="AH326">
        <v>0</v>
      </c>
      <c r="AI326">
        <v>9</v>
      </c>
      <c r="AJ326" t="s">
        <v>125</v>
      </c>
      <c r="AK326">
        <v>0</v>
      </c>
      <c r="AL326">
        <v>3</v>
      </c>
      <c r="AM326">
        <v>2</v>
      </c>
      <c r="AN326">
        <v>1</v>
      </c>
      <c r="AO326" t="s">
        <v>787</v>
      </c>
      <c r="AP326">
        <v>42.999287000000002</v>
      </c>
      <c r="AQ326" t="s">
        <v>786</v>
      </c>
      <c r="AR326">
        <v>-77.566416000000004</v>
      </c>
      <c r="AS326">
        <v>25</v>
      </c>
      <c r="AT326">
        <v>2000</v>
      </c>
      <c r="AU326" t="s">
        <v>123</v>
      </c>
      <c r="AV326">
        <v>7</v>
      </c>
      <c r="AW326">
        <v>179</v>
      </c>
      <c r="AX326">
        <v>-64</v>
      </c>
      <c r="AZ326">
        <f t="shared" si="56"/>
        <v>49</v>
      </c>
      <c r="BA326">
        <f t="shared" si="57"/>
        <v>32041</v>
      </c>
      <c r="BB326" s="1">
        <f t="shared" si="58"/>
        <v>179.13681921927719</v>
      </c>
      <c r="BJ326">
        <v>1404</v>
      </c>
      <c r="BK326">
        <v>1</v>
      </c>
      <c r="BL326" t="str">
        <f t="shared" si="52"/>
        <v xml:space="preserve">N600C   </v>
      </c>
      <c r="BM326">
        <v>2</v>
      </c>
      <c r="BO326">
        <v>0</v>
      </c>
      <c r="BP326">
        <v>0</v>
      </c>
      <c r="BQ326">
        <v>0</v>
      </c>
      <c r="BR326">
        <v>2200</v>
      </c>
      <c r="BS326">
        <v>200</v>
      </c>
      <c r="BT326" t="s">
        <v>128</v>
      </c>
      <c r="BU326">
        <v>0</v>
      </c>
      <c r="BV326">
        <v>0</v>
      </c>
      <c r="BW326">
        <v>0</v>
      </c>
      <c r="BX326">
        <v>1</v>
      </c>
      <c r="CA326">
        <v>0</v>
      </c>
      <c r="CB326">
        <v>0</v>
      </c>
      <c r="CC326">
        <v>0</v>
      </c>
      <c r="CM326" t="str">
        <f>"17:46:08.124"</f>
        <v>17:46:08.124</v>
      </c>
      <c r="CN326">
        <v>124118260</v>
      </c>
      <c r="CQ326">
        <v>0</v>
      </c>
      <c r="CR326">
        <v>2496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3</v>
      </c>
      <c r="DB326">
        <v>2</v>
      </c>
      <c r="DC326">
        <v>0</v>
      </c>
      <c r="DD326">
        <v>2</v>
      </c>
      <c r="DE326">
        <v>0</v>
      </c>
      <c r="DF326">
        <v>7</v>
      </c>
      <c r="DG326">
        <v>7</v>
      </c>
      <c r="DH326" t="s">
        <v>124</v>
      </c>
      <c r="DI326">
        <v>407</v>
      </c>
      <c r="DJ326">
        <v>3</v>
      </c>
      <c r="DK326" t="s">
        <v>132</v>
      </c>
      <c r="DL326" t="s">
        <v>133</v>
      </c>
      <c r="DO326">
        <v>1583951</v>
      </c>
      <c r="DQ326">
        <v>0</v>
      </c>
      <c r="DR326">
        <v>0</v>
      </c>
      <c r="DS326">
        <v>1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</row>
    <row r="327" spans="1:131" x14ac:dyDescent="0.35">
      <c r="A327" s="2" t="str">
        <f>"17:46:09.428"</f>
        <v>17:46:09.428</v>
      </c>
      <c r="B327" s="4">
        <f t="shared" ref="B327:B390" si="59">E327*86400</f>
        <v>63969.428</v>
      </c>
      <c r="C327" s="4">
        <f t="shared" si="53"/>
        <v>369.42799999999988</v>
      </c>
      <c r="D327" s="3">
        <f t="shared" si="54"/>
        <v>0.74038689814814818</v>
      </c>
      <c r="E327" s="2">
        <f t="shared" si="55"/>
        <v>0.74038689814814818</v>
      </c>
      <c r="G327" t="str">
        <f t="shared" si="50"/>
        <v>FFDFD7C0</v>
      </c>
      <c r="H327" t="s">
        <v>126</v>
      </c>
      <c r="I327">
        <v>8</v>
      </c>
      <c r="J327">
        <v>1008</v>
      </c>
      <c r="K327" t="s">
        <v>129</v>
      </c>
      <c r="N327" t="s">
        <v>127</v>
      </c>
      <c r="O327">
        <v>0</v>
      </c>
      <c r="P327">
        <v>3</v>
      </c>
      <c r="Q327">
        <v>0</v>
      </c>
      <c r="R327">
        <v>2</v>
      </c>
      <c r="S327">
        <v>1</v>
      </c>
      <c r="T327">
        <v>0</v>
      </c>
      <c r="U327">
        <v>0</v>
      </c>
      <c r="W327" t="str">
        <f>"17:46:09.172"</f>
        <v>17:46:09.172</v>
      </c>
      <c r="X327" t="str">
        <f>"17:46:08.772"</f>
        <v>17:46:08.772</v>
      </c>
      <c r="Y327" t="str">
        <f t="shared" si="51"/>
        <v>A7C771</v>
      </c>
      <c r="Z327">
        <v>0</v>
      </c>
      <c r="AA327">
        <v>0</v>
      </c>
      <c r="AB327">
        <v>2</v>
      </c>
      <c r="AC327">
        <v>0</v>
      </c>
      <c r="AE327">
        <v>0</v>
      </c>
      <c r="AF327">
        <v>8</v>
      </c>
      <c r="AG327">
        <v>3</v>
      </c>
      <c r="AH327">
        <v>0</v>
      </c>
      <c r="AI327">
        <v>9</v>
      </c>
      <c r="AJ327" t="s">
        <v>125</v>
      </c>
      <c r="AK327">
        <v>0</v>
      </c>
      <c r="AL327">
        <v>3</v>
      </c>
      <c r="AM327">
        <v>2</v>
      </c>
      <c r="AN327">
        <v>1</v>
      </c>
      <c r="AO327" t="s">
        <v>788</v>
      </c>
      <c r="AP327">
        <v>43.000208999999998</v>
      </c>
      <c r="AQ327" t="s">
        <v>789</v>
      </c>
      <c r="AR327">
        <v>-77.566351999999995</v>
      </c>
      <c r="AS327">
        <v>25</v>
      </c>
      <c r="AT327">
        <v>2000</v>
      </c>
      <c r="AU327" t="s">
        <v>123</v>
      </c>
      <c r="AV327">
        <v>6</v>
      </c>
      <c r="AW327">
        <v>179</v>
      </c>
      <c r="AX327">
        <v>-64</v>
      </c>
      <c r="AZ327">
        <f t="shared" si="56"/>
        <v>36</v>
      </c>
      <c r="BA327">
        <f t="shared" si="57"/>
        <v>32041</v>
      </c>
      <c r="BB327" s="1">
        <f t="shared" si="58"/>
        <v>179.10053042914194</v>
      </c>
      <c r="BJ327">
        <v>1404</v>
      </c>
      <c r="BK327">
        <v>1</v>
      </c>
      <c r="BL327" t="str">
        <f t="shared" si="52"/>
        <v xml:space="preserve">N600C   </v>
      </c>
      <c r="BM327">
        <v>2</v>
      </c>
      <c r="BO327">
        <v>0</v>
      </c>
      <c r="BP327">
        <v>0</v>
      </c>
      <c r="BQ327">
        <v>0</v>
      </c>
      <c r="BR327">
        <v>2175</v>
      </c>
      <c r="BS327">
        <v>175</v>
      </c>
      <c r="BT327" t="s">
        <v>128</v>
      </c>
      <c r="BU327">
        <v>0</v>
      </c>
      <c r="BV327">
        <v>0</v>
      </c>
      <c r="BW327">
        <v>0</v>
      </c>
      <c r="BX327">
        <v>1</v>
      </c>
      <c r="CA327">
        <v>0</v>
      </c>
      <c r="CB327">
        <v>0</v>
      </c>
      <c r="CC327">
        <v>0</v>
      </c>
      <c r="CM327" t="str">
        <f>"17:46:09.172"</f>
        <v>17:46:09.172</v>
      </c>
      <c r="CN327">
        <v>172315537</v>
      </c>
      <c r="CQ327">
        <v>0</v>
      </c>
      <c r="CR327">
        <v>2496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3</v>
      </c>
      <c r="DB327">
        <v>2</v>
      </c>
      <c r="DC327">
        <v>0</v>
      </c>
      <c r="DD327">
        <v>2</v>
      </c>
      <c r="DE327">
        <v>0</v>
      </c>
      <c r="DF327">
        <v>7</v>
      </c>
      <c r="DG327">
        <v>7</v>
      </c>
      <c r="DH327" t="s">
        <v>124</v>
      </c>
      <c r="DI327">
        <v>71</v>
      </c>
      <c r="DJ327">
        <v>0</v>
      </c>
      <c r="DK327" t="s">
        <v>134</v>
      </c>
      <c r="DL327" t="s">
        <v>135</v>
      </c>
      <c r="DO327">
        <v>10170534</v>
      </c>
      <c r="DQ327">
        <v>0</v>
      </c>
      <c r="DR327">
        <v>0</v>
      </c>
      <c r="DS327">
        <v>1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</row>
    <row r="328" spans="1:131" x14ac:dyDescent="0.35">
      <c r="A328" s="2" t="str">
        <f>"17:46:10.413"</f>
        <v>17:46:10.413</v>
      </c>
      <c r="B328" s="4">
        <f t="shared" si="59"/>
        <v>63970.413000000008</v>
      </c>
      <c r="C328" s="4">
        <f t="shared" si="53"/>
        <v>370.41300000000774</v>
      </c>
      <c r="D328" s="3">
        <f t="shared" si="54"/>
        <v>0.74039829861111117</v>
      </c>
      <c r="E328" s="2">
        <f t="shared" si="55"/>
        <v>0.74039829861111117</v>
      </c>
      <c r="G328" t="str">
        <f t="shared" si="50"/>
        <v>FFDFD7C0</v>
      </c>
      <c r="H328" t="s">
        <v>126</v>
      </c>
      <c r="I328">
        <v>8</v>
      </c>
      <c r="J328">
        <v>1008</v>
      </c>
      <c r="K328" t="s">
        <v>129</v>
      </c>
      <c r="N328" t="s">
        <v>127</v>
      </c>
      <c r="O328">
        <v>0</v>
      </c>
      <c r="P328">
        <v>3</v>
      </c>
      <c r="Q328">
        <v>0</v>
      </c>
      <c r="R328">
        <v>2</v>
      </c>
      <c r="S328">
        <v>1</v>
      </c>
      <c r="T328">
        <v>0</v>
      </c>
      <c r="U328">
        <v>0</v>
      </c>
      <c r="W328" t="str">
        <f>"17:46:10.203"</f>
        <v>17:46:10.203</v>
      </c>
      <c r="X328" t="str">
        <f>"17:46:10.203"</f>
        <v>17:46:10.203</v>
      </c>
      <c r="Y328" t="str">
        <f t="shared" si="51"/>
        <v>A7C771</v>
      </c>
      <c r="Z328">
        <v>0</v>
      </c>
      <c r="AA328">
        <v>0</v>
      </c>
      <c r="AB328">
        <v>2</v>
      </c>
      <c r="AC328">
        <v>0</v>
      </c>
      <c r="AE328">
        <v>0</v>
      </c>
      <c r="AF328">
        <v>8</v>
      </c>
      <c r="AG328">
        <v>3</v>
      </c>
      <c r="AH328">
        <v>0</v>
      </c>
      <c r="AI328">
        <v>9</v>
      </c>
      <c r="AJ328" t="s">
        <v>125</v>
      </c>
      <c r="AK328">
        <v>0</v>
      </c>
      <c r="AL328">
        <v>3</v>
      </c>
      <c r="AM328">
        <v>2</v>
      </c>
      <c r="AN328">
        <v>1</v>
      </c>
      <c r="AO328" t="s">
        <v>790</v>
      </c>
      <c r="AP328">
        <v>43.001046000000002</v>
      </c>
      <c r="AQ328" t="s">
        <v>789</v>
      </c>
      <c r="AR328">
        <v>-77.566351999999995</v>
      </c>
      <c r="AS328">
        <v>25</v>
      </c>
      <c r="AT328">
        <v>2000</v>
      </c>
      <c r="AU328" t="s">
        <v>123</v>
      </c>
      <c r="AV328">
        <v>5</v>
      </c>
      <c r="AW328">
        <v>179</v>
      </c>
      <c r="AX328">
        <v>64</v>
      </c>
      <c r="AZ328">
        <f t="shared" si="56"/>
        <v>25</v>
      </c>
      <c r="BA328">
        <f t="shared" si="57"/>
        <v>32041</v>
      </c>
      <c r="BB328" s="1">
        <f t="shared" si="58"/>
        <v>179.06981878585793</v>
      </c>
      <c r="BJ328">
        <v>1404</v>
      </c>
      <c r="BK328">
        <v>1</v>
      </c>
      <c r="BL328" t="str">
        <f t="shared" si="52"/>
        <v xml:space="preserve">N600C   </v>
      </c>
      <c r="BM328">
        <v>2</v>
      </c>
      <c r="BO328">
        <v>0</v>
      </c>
      <c r="BP328">
        <v>0</v>
      </c>
      <c r="BQ328">
        <v>0</v>
      </c>
      <c r="BR328">
        <v>2175</v>
      </c>
      <c r="BS328">
        <v>175</v>
      </c>
      <c r="BT328" t="s">
        <v>128</v>
      </c>
      <c r="BU328">
        <v>0</v>
      </c>
      <c r="BV328">
        <v>0</v>
      </c>
      <c r="BW328">
        <v>0</v>
      </c>
      <c r="BX328">
        <v>1</v>
      </c>
      <c r="CA328">
        <v>0</v>
      </c>
      <c r="CB328">
        <v>0</v>
      </c>
      <c r="CC328">
        <v>0</v>
      </c>
      <c r="CM328" t="str">
        <f>"17:46:10.205"</f>
        <v>17:46:10.205</v>
      </c>
      <c r="CN328">
        <v>204516773</v>
      </c>
      <c r="CQ328">
        <v>0</v>
      </c>
      <c r="CR328">
        <v>2496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3</v>
      </c>
      <c r="DB328">
        <v>2</v>
      </c>
      <c r="DC328">
        <v>0</v>
      </c>
      <c r="DD328">
        <v>2</v>
      </c>
      <c r="DE328">
        <v>0</v>
      </c>
      <c r="DF328">
        <v>7</v>
      </c>
      <c r="DG328">
        <v>7</v>
      </c>
      <c r="DH328" t="s">
        <v>124</v>
      </c>
      <c r="DI328">
        <v>71</v>
      </c>
      <c r="DJ328">
        <v>0</v>
      </c>
      <c r="DK328" t="s">
        <v>134</v>
      </c>
      <c r="DL328" t="s">
        <v>135</v>
      </c>
      <c r="DO328">
        <v>10171275</v>
      </c>
      <c r="DQ328">
        <v>0</v>
      </c>
      <c r="DR328">
        <v>0</v>
      </c>
      <c r="DS328">
        <v>1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</row>
    <row r="329" spans="1:131" x14ac:dyDescent="0.35">
      <c r="A329" s="2" t="str">
        <f>"17:46:11.335"</f>
        <v>17:46:11.335</v>
      </c>
      <c r="B329" s="4">
        <f t="shared" si="59"/>
        <v>63971.334999999992</v>
      </c>
      <c r="C329" s="4">
        <f t="shared" si="53"/>
        <v>371.33499999999185</v>
      </c>
      <c r="D329" s="3">
        <f t="shared" si="54"/>
        <v>0.74040896990740734</v>
      </c>
      <c r="E329" s="2">
        <f t="shared" si="55"/>
        <v>0.74040896990740734</v>
      </c>
      <c r="G329" t="str">
        <f t="shared" si="50"/>
        <v>FFDFD7C0</v>
      </c>
      <c r="H329" t="s">
        <v>126</v>
      </c>
      <c r="I329">
        <v>8</v>
      </c>
      <c r="J329">
        <v>1008</v>
      </c>
      <c r="K329" t="s">
        <v>129</v>
      </c>
      <c r="N329" t="s">
        <v>127</v>
      </c>
      <c r="O329">
        <v>0</v>
      </c>
      <c r="P329">
        <v>3</v>
      </c>
      <c r="Q329">
        <v>0</v>
      </c>
      <c r="R329">
        <v>2</v>
      </c>
      <c r="S329">
        <v>1</v>
      </c>
      <c r="T329">
        <v>0</v>
      </c>
      <c r="U329">
        <v>0</v>
      </c>
      <c r="W329" t="str">
        <f>"17:46:11.125"</f>
        <v>17:46:11.125</v>
      </c>
      <c r="X329" t="str">
        <f>"17:46:10.725"</f>
        <v>17:46:10.725</v>
      </c>
      <c r="Y329" t="str">
        <f t="shared" si="51"/>
        <v>A7C771</v>
      </c>
      <c r="Z329">
        <v>0</v>
      </c>
      <c r="AA329">
        <v>0</v>
      </c>
      <c r="AB329">
        <v>2</v>
      </c>
      <c r="AC329">
        <v>0</v>
      </c>
      <c r="AE329">
        <v>0</v>
      </c>
      <c r="AF329">
        <v>8</v>
      </c>
      <c r="AG329">
        <v>3</v>
      </c>
      <c r="AH329">
        <v>0</v>
      </c>
      <c r="AI329">
        <v>9</v>
      </c>
      <c r="AJ329" t="s">
        <v>125</v>
      </c>
      <c r="AK329">
        <v>0</v>
      </c>
      <c r="AL329">
        <v>3</v>
      </c>
      <c r="AM329">
        <v>2</v>
      </c>
      <c r="AN329">
        <v>1</v>
      </c>
      <c r="AO329" t="s">
        <v>791</v>
      </c>
      <c r="AP329">
        <v>43.001797000000003</v>
      </c>
      <c r="AQ329" t="s">
        <v>792</v>
      </c>
      <c r="AR329">
        <v>-77.566288</v>
      </c>
      <c r="AS329">
        <v>25</v>
      </c>
      <c r="AT329">
        <v>2025</v>
      </c>
      <c r="AU329" t="s">
        <v>123</v>
      </c>
      <c r="AV329">
        <v>4</v>
      </c>
      <c r="AW329">
        <v>178</v>
      </c>
      <c r="AX329">
        <v>64</v>
      </c>
      <c r="AZ329">
        <f t="shared" si="56"/>
        <v>16</v>
      </c>
      <c r="BA329">
        <f t="shared" si="57"/>
        <v>31684</v>
      </c>
      <c r="BB329" s="1">
        <f t="shared" si="58"/>
        <v>178.04493814764857</v>
      </c>
      <c r="BJ329">
        <v>1404</v>
      </c>
      <c r="BK329">
        <v>1</v>
      </c>
      <c r="BL329" t="str">
        <f t="shared" si="52"/>
        <v xml:space="preserve">N600C   </v>
      </c>
      <c r="BM329">
        <v>2</v>
      </c>
      <c r="BO329">
        <v>0</v>
      </c>
      <c r="BP329">
        <v>0</v>
      </c>
      <c r="BQ329">
        <v>0</v>
      </c>
      <c r="BR329">
        <v>2175</v>
      </c>
      <c r="BS329">
        <v>150</v>
      </c>
      <c r="BT329" t="s">
        <v>128</v>
      </c>
      <c r="BU329">
        <v>0</v>
      </c>
      <c r="BV329">
        <v>0</v>
      </c>
      <c r="BW329">
        <v>0</v>
      </c>
      <c r="BX329">
        <v>1</v>
      </c>
      <c r="CA329">
        <v>0</v>
      </c>
      <c r="CB329">
        <v>0</v>
      </c>
      <c r="CC329">
        <v>0</v>
      </c>
      <c r="CM329" t="str">
        <f>"17:46:11.133"</f>
        <v>17:46:11.133</v>
      </c>
      <c r="CN329">
        <v>132680349</v>
      </c>
      <c r="CQ329">
        <v>0</v>
      </c>
      <c r="CR329">
        <v>2496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3</v>
      </c>
      <c r="DB329">
        <v>2</v>
      </c>
      <c r="DC329">
        <v>0</v>
      </c>
      <c r="DD329">
        <v>2</v>
      </c>
      <c r="DE329">
        <v>0</v>
      </c>
      <c r="DF329">
        <v>7</v>
      </c>
      <c r="DG329">
        <v>7</v>
      </c>
      <c r="DH329" t="s">
        <v>124</v>
      </c>
      <c r="DI329">
        <v>71</v>
      </c>
      <c r="DJ329">
        <v>1</v>
      </c>
      <c r="DK329" t="s">
        <v>134</v>
      </c>
      <c r="DL329" t="s">
        <v>135</v>
      </c>
      <c r="DO329">
        <v>11522919</v>
      </c>
      <c r="DQ329">
        <v>0</v>
      </c>
      <c r="DR329">
        <v>0</v>
      </c>
      <c r="DS329">
        <v>1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</row>
    <row r="330" spans="1:131" x14ac:dyDescent="0.35">
      <c r="A330" s="2" t="str">
        <f>"17:46:12.460"</f>
        <v>17:46:12.460</v>
      </c>
      <c r="B330" s="4">
        <f t="shared" si="59"/>
        <v>63972.460000000006</v>
      </c>
      <c r="C330" s="4">
        <f t="shared" si="53"/>
        <v>372.4600000000064</v>
      </c>
      <c r="D330" s="3">
        <f t="shared" si="54"/>
        <v>0.74042199074074078</v>
      </c>
      <c r="E330" s="2">
        <f t="shared" si="55"/>
        <v>0.74042199074074078</v>
      </c>
      <c r="G330" t="str">
        <f t="shared" si="50"/>
        <v>FFDFD7C0</v>
      </c>
      <c r="H330" t="s">
        <v>126</v>
      </c>
      <c r="I330">
        <v>8</v>
      </c>
      <c r="J330">
        <v>1008</v>
      </c>
      <c r="K330" t="s">
        <v>129</v>
      </c>
      <c r="N330" t="s">
        <v>127</v>
      </c>
      <c r="O330">
        <v>0</v>
      </c>
      <c r="P330">
        <v>3</v>
      </c>
      <c r="Q330">
        <v>0</v>
      </c>
      <c r="R330">
        <v>2</v>
      </c>
      <c r="S330">
        <v>1</v>
      </c>
      <c r="T330">
        <v>0</v>
      </c>
      <c r="U330">
        <v>0</v>
      </c>
      <c r="W330" t="str">
        <f>"17:46:12.188"</f>
        <v>17:46:12.188</v>
      </c>
      <c r="X330" t="str">
        <f>"17:46:12.188"</f>
        <v>17:46:12.188</v>
      </c>
      <c r="Y330" t="str">
        <f t="shared" si="51"/>
        <v>A7C771</v>
      </c>
      <c r="Z330">
        <v>0</v>
      </c>
      <c r="AA330">
        <v>0</v>
      </c>
      <c r="AB330">
        <v>2</v>
      </c>
      <c r="AC330">
        <v>0</v>
      </c>
      <c r="AE330">
        <v>0</v>
      </c>
      <c r="AF330">
        <v>8</v>
      </c>
      <c r="AG330">
        <v>3</v>
      </c>
      <c r="AH330">
        <v>0</v>
      </c>
      <c r="AI330">
        <v>9</v>
      </c>
      <c r="AJ330" t="s">
        <v>125</v>
      </c>
      <c r="AK330">
        <v>0</v>
      </c>
      <c r="AL330">
        <v>3</v>
      </c>
      <c r="AM330">
        <v>2</v>
      </c>
      <c r="AN330">
        <v>1</v>
      </c>
      <c r="AO330" t="s">
        <v>793</v>
      </c>
      <c r="AP330">
        <v>43.002676999999998</v>
      </c>
      <c r="AQ330" t="s">
        <v>792</v>
      </c>
      <c r="AR330">
        <v>-77.566288</v>
      </c>
      <c r="AS330">
        <v>25</v>
      </c>
      <c r="AT330">
        <v>2025</v>
      </c>
      <c r="AU330" t="s">
        <v>123</v>
      </c>
      <c r="AV330">
        <v>4</v>
      </c>
      <c r="AW330">
        <v>178</v>
      </c>
      <c r="AX330">
        <v>0</v>
      </c>
      <c r="AZ330">
        <f t="shared" si="56"/>
        <v>16</v>
      </c>
      <c r="BA330">
        <f t="shared" si="57"/>
        <v>31684</v>
      </c>
      <c r="BB330" s="1">
        <f t="shared" si="58"/>
        <v>178.04493814764857</v>
      </c>
      <c r="BJ330">
        <v>1404</v>
      </c>
      <c r="BK330">
        <v>1</v>
      </c>
      <c r="BL330" t="str">
        <f t="shared" si="52"/>
        <v xml:space="preserve">N600C   </v>
      </c>
      <c r="BM330">
        <v>2</v>
      </c>
      <c r="BO330">
        <v>0</v>
      </c>
      <c r="BP330">
        <v>0</v>
      </c>
      <c r="BQ330">
        <v>0</v>
      </c>
      <c r="BR330">
        <v>2200</v>
      </c>
      <c r="BS330">
        <v>175</v>
      </c>
      <c r="BT330" t="s">
        <v>128</v>
      </c>
      <c r="BU330">
        <v>0</v>
      </c>
      <c r="BV330">
        <v>0</v>
      </c>
      <c r="BW330">
        <v>0</v>
      </c>
      <c r="BX330">
        <v>1</v>
      </c>
      <c r="CA330">
        <v>0</v>
      </c>
      <c r="CB330">
        <v>0</v>
      </c>
      <c r="CC330">
        <v>0</v>
      </c>
      <c r="CM330" t="str">
        <f>"17:46:12.189"</f>
        <v>17:46:12.189</v>
      </c>
      <c r="CN330">
        <v>188884077</v>
      </c>
      <c r="CQ330">
        <v>0</v>
      </c>
      <c r="CR330">
        <v>2496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3</v>
      </c>
      <c r="DB330">
        <v>2</v>
      </c>
      <c r="DC330">
        <v>0</v>
      </c>
      <c r="DD330">
        <v>2</v>
      </c>
      <c r="DE330">
        <v>0</v>
      </c>
      <c r="DF330">
        <v>7</v>
      </c>
      <c r="DG330">
        <v>7</v>
      </c>
      <c r="DH330" t="s">
        <v>124</v>
      </c>
      <c r="DI330">
        <v>407</v>
      </c>
      <c r="DJ330">
        <v>3</v>
      </c>
      <c r="DK330" t="s">
        <v>132</v>
      </c>
      <c r="DL330" t="s">
        <v>133</v>
      </c>
      <c r="DO330">
        <v>1587958</v>
      </c>
      <c r="DQ330">
        <v>0</v>
      </c>
      <c r="DR330">
        <v>0</v>
      </c>
      <c r="DS330">
        <v>1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</row>
    <row r="331" spans="1:131" x14ac:dyDescent="0.35">
      <c r="A331" s="2" t="str">
        <f>"17:46:13.522"</f>
        <v>17:46:13.522</v>
      </c>
      <c r="B331" s="4">
        <f t="shared" si="59"/>
        <v>63973.521999999997</v>
      </c>
      <c r="C331" s="4">
        <f t="shared" si="53"/>
        <v>373.52199999999721</v>
      </c>
      <c r="D331" s="3">
        <f t="shared" si="54"/>
        <v>0.74043428240740738</v>
      </c>
      <c r="E331" s="2">
        <f t="shared" si="55"/>
        <v>0.74043428240740738</v>
      </c>
      <c r="G331" t="str">
        <f t="shared" si="50"/>
        <v>FFDFD7C0</v>
      </c>
      <c r="H331" t="s">
        <v>126</v>
      </c>
      <c r="I331">
        <v>8</v>
      </c>
      <c r="J331">
        <v>1008</v>
      </c>
      <c r="K331" t="s">
        <v>129</v>
      </c>
      <c r="N331" t="s">
        <v>127</v>
      </c>
      <c r="O331">
        <v>0</v>
      </c>
      <c r="P331">
        <v>3</v>
      </c>
      <c r="Q331">
        <v>0</v>
      </c>
      <c r="R331">
        <v>2</v>
      </c>
      <c r="S331">
        <v>1</v>
      </c>
      <c r="T331">
        <v>0</v>
      </c>
      <c r="U331">
        <v>0</v>
      </c>
      <c r="W331" t="str">
        <f>"17:46:13.242"</f>
        <v>17:46:13.242</v>
      </c>
      <c r="X331" t="str">
        <f>"17:46:13.042"</f>
        <v>17:46:13.042</v>
      </c>
      <c r="Y331" t="str">
        <f t="shared" si="51"/>
        <v>A7C771</v>
      </c>
      <c r="Z331">
        <v>0</v>
      </c>
      <c r="AA331">
        <v>0</v>
      </c>
      <c r="AB331">
        <v>2</v>
      </c>
      <c r="AC331">
        <v>0</v>
      </c>
      <c r="AE331">
        <v>0</v>
      </c>
      <c r="AF331">
        <v>8</v>
      </c>
      <c r="AG331">
        <v>3</v>
      </c>
      <c r="AH331">
        <v>0</v>
      </c>
      <c r="AI331">
        <v>9</v>
      </c>
      <c r="AJ331" t="s">
        <v>125</v>
      </c>
      <c r="AK331">
        <v>0</v>
      </c>
      <c r="AL331">
        <v>3</v>
      </c>
      <c r="AM331">
        <v>2</v>
      </c>
      <c r="AN331">
        <v>1</v>
      </c>
      <c r="AO331" t="s">
        <v>794</v>
      </c>
      <c r="AP331">
        <v>43.003599999999999</v>
      </c>
      <c r="AQ331" t="s">
        <v>792</v>
      </c>
      <c r="AR331">
        <v>-77.566288</v>
      </c>
      <c r="AS331">
        <v>25</v>
      </c>
      <c r="AT331">
        <v>2025</v>
      </c>
      <c r="AU331" t="s">
        <v>123</v>
      </c>
      <c r="AV331">
        <v>4</v>
      </c>
      <c r="AW331">
        <v>178</v>
      </c>
      <c r="AX331">
        <v>64</v>
      </c>
      <c r="AZ331">
        <f t="shared" si="56"/>
        <v>16</v>
      </c>
      <c r="BA331">
        <f t="shared" si="57"/>
        <v>31684</v>
      </c>
      <c r="BB331" s="1">
        <f t="shared" si="58"/>
        <v>178.04493814764857</v>
      </c>
      <c r="BJ331">
        <v>1404</v>
      </c>
      <c r="BK331">
        <v>1</v>
      </c>
      <c r="BL331" t="str">
        <f t="shared" si="52"/>
        <v xml:space="preserve">N600C   </v>
      </c>
      <c r="BM331">
        <v>2</v>
      </c>
      <c r="BO331">
        <v>0</v>
      </c>
      <c r="BP331">
        <v>0</v>
      </c>
      <c r="BQ331">
        <v>0</v>
      </c>
      <c r="BR331">
        <v>2200</v>
      </c>
      <c r="BS331">
        <v>175</v>
      </c>
      <c r="BT331" t="s">
        <v>128</v>
      </c>
      <c r="BU331">
        <v>0</v>
      </c>
      <c r="BV331">
        <v>0</v>
      </c>
      <c r="BW331">
        <v>0</v>
      </c>
      <c r="BX331">
        <v>1</v>
      </c>
      <c r="CA331">
        <v>0</v>
      </c>
      <c r="CB331">
        <v>0</v>
      </c>
      <c r="CC331">
        <v>0</v>
      </c>
      <c r="CM331" t="str">
        <f>"17:46:13.245"</f>
        <v>17:46:13.245</v>
      </c>
      <c r="CN331">
        <v>245083418</v>
      </c>
      <c r="CQ331">
        <v>0</v>
      </c>
      <c r="CR331">
        <v>2496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3</v>
      </c>
      <c r="DB331">
        <v>2</v>
      </c>
      <c r="DC331">
        <v>0</v>
      </c>
      <c r="DD331">
        <v>2</v>
      </c>
      <c r="DE331">
        <v>0</v>
      </c>
      <c r="DF331">
        <v>7</v>
      </c>
      <c r="DG331">
        <v>7</v>
      </c>
      <c r="DH331" t="s">
        <v>124</v>
      </c>
      <c r="DI331">
        <v>71</v>
      </c>
      <c r="DJ331">
        <v>1</v>
      </c>
      <c r="DK331" t="s">
        <v>134</v>
      </c>
      <c r="DL331" t="s">
        <v>135</v>
      </c>
      <c r="DO331">
        <v>11524874</v>
      </c>
      <c r="DQ331">
        <v>0</v>
      </c>
      <c r="DR331">
        <v>0</v>
      </c>
      <c r="DS331">
        <v>1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</row>
    <row r="332" spans="1:131" x14ac:dyDescent="0.35">
      <c r="A332" s="2" t="str">
        <f>"17:46:14.584"</f>
        <v>17:46:14.584</v>
      </c>
      <c r="B332" s="4">
        <f t="shared" si="59"/>
        <v>63974.584000000003</v>
      </c>
      <c r="C332" s="4">
        <f t="shared" si="53"/>
        <v>374.58400000000256</v>
      </c>
      <c r="D332" s="3">
        <f t="shared" si="54"/>
        <v>0.7404465740740741</v>
      </c>
      <c r="E332" s="2">
        <f t="shared" si="55"/>
        <v>0.7404465740740741</v>
      </c>
      <c r="G332" t="str">
        <f t="shared" si="50"/>
        <v>FFDFD7C0</v>
      </c>
      <c r="H332" t="s">
        <v>126</v>
      </c>
      <c r="I332">
        <v>8</v>
      </c>
      <c r="J332">
        <v>1008</v>
      </c>
      <c r="K332" t="s">
        <v>129</v>
      </c>
      <c r="N332" t="s">
        <v>127</v>
      </c>
      <c r="O332">
        <v>0</v>
      </c>
      <c r="P332">
        <v>3</v>
      </c>
      <c r="Q332">
        <v>0</v>
      </c>
      <c r="R332">
        <v>2</v>
      </c>
      <c r="S332">
        <v>1</v>
      </c>
      <c r="T332">
        <v>0</v>
      </c>
      <c r="U332">
        <v>0</v>
      </c>
      <c r="W332" t="str">
        <f>"17:46:14.328"</f>
        <v>17:46:14.328</v>
      </c>
      <c r="X332" t="str">
        <f>"17:46:13.928"</f>
        <v>17:46:13.928</v>
      </c>
      <c r="Y332" t="str">
        <f t="shared" si="51"/>
        <v>A7C771</v>
      </c>
      <c r="Z332">
        <v>0</v>
      </c>
      <c r="AA332">
        <v>0</v>
      </c>
      <c r="AB332">
        <v>2</v>
      </c>
      <c r="AC332">
        <v>0</v>
      </c>
      <c r="AE332">
        <v>0</v>
      </c>
      <c r="AF332">
        <v>8</v>
      </c>
      <c r="AG332">
        <v>3</v>
      </c>
      <c r="AH332">
        <v>0</v>
      </c>
      <c r="AI332">
        <v>9</v>
      </c>
      <c r="AJ332" t="s">
        <v>125</v>
      </c>
      <c r="AK332">
        <v>0</v>
      </c>
      <c r="AL332">
        <v>3</v>
      </c>
      <c r="AM332">
        <v>2</v>
      </c>
      <c r="AN332">
        <v>1</v>
      </c>
      <c r="AO332" t="s">
        <v>795</v>
      </c>
      <c r="AP332">
        <v>43.004393999999998</v>
      </c>
      <c r="AQ332" t="s">
        <v>796</v>
      </c>
      <c r="AR332">
        <v>-77.566222999999994</v>
      </c>
      <c r="AS332">
        <v>25</v>
      </c>
      <c r="AT332">
        <v>2025</v>
      </c>
      <c r="AU332" t="s">
        <v>123</v>
      </c>
      <c r="AV332">
        <v>4</v>
      </c>
      <c r="AW332">
        <v>178</v>
      </c>
      <c r="AX332">
        <v>64</v>
      </c>
      <c r="AZ332">
        <f t="shared" si="56"/>
        <v>16</v>
      </c>
      <c r="BA332">
        <f t="shared" si="57"/>
        <v>31684</v>
      </c>
      <c r="BB332" s="1">
        <f t="shared" si="58"/>
        <v>178.04493814764857</v>
      </c>
      <c r="BJ332">
        <v>1404</v>
      </c>
      <c r="BK332">
        <v>1</v>
      </c>
      <c r="BL332" t="str">
        <f t="shared" si="52"/>
        <v xml:space="preserve">N600C   </v>
      </c>
      <c r="BM332">
        <v>2</v>
      </c>
      <c r="BO332">
        <v>0</v>
      </c>
      <c r="BP332">
        <v>0</v>
      </c>
      <c r="BQ332">
        <v>0</v>
      </c>
      <c r="BR332">
        <v>2200</v>
      </c>
      <c r="BS332">
        <v>175</v>
      </c>
      <c r="BT332" t="s">
        <v>128</v>
      </c>
      <c r="BU332">
        <v>0</v>
      </c>
      <c r="BV332">
        <v>0</v>
      </c>
      <c r="BW332">
        <v>0</v>
      </c>
      <c r="BX332">
        <v>1</v>
      </c>
      <c r="CA332">
        <v>0</v>
      </c>
      <c r="CB332">
        <v>0</v>
      </c>
      <c r="CC332">
        <v>0</v>
      </c>
      <c r="CM332" t="str">
        <f>"17:46:14.333"</f>
        <v>17:46:14.333</v>
      </c>
      <c r="CN332">
        <v>333279945</v>
      </c>
      <c r="CQ332">
        <v>0</v>
      </c>
      <c r="CR332">
        <v>2496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3</v>
      </c>
      <c r="DB332">
        <v>2</v>
      </c>
      <c r="DC332">
        <v>0</v>
      </c>
      <c r="DD332">
        <v>2</v>
      </c>
      <c r="DE332">
        <v>0</v>
      </c>
      <c r="DF332">
        <v>7</v>
      </c>
      <c r="DG332">
        <v>7</v>
      </c>
      <c r="DH332" t="s">
        <v>124</v>
      </c>
      <c r="DI332">
        <v>71</v>
      </c>
      <c r="DJ332">
        <v>0</v>
      </c>
      <c r="DK332" t="s">
        <v>134</v>
      </c>
      <c r="DL332" t="s">
        <v>135</v>
      </c>
      <c r="DO332">
        <v>10174291</v>
      </c>
      <c r="DQ332">
        <v>0</v>
      </c>
      <c r="DR332">
        <v>0</v>
      </c>
      <c r="DS332">
        <v>1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</row>
    <row r="333" spans="1:131" x14ac:dyDescent="0.35">
      <c r="A333" s="2" t="str">
        <f>"17:46:15.584"</f>
        <v>17:46:15.584</v>
      </c>
      <c r="B333" s="4">
        <f t="shared" si="59"/>
        <v>63975.584000000003</v>
      </c>
      <c r="C333" s="4">
        <f t="shared" si="53"/>
        <v>375.58400000000256</v>
      </c>
      <c r="D333" s="3">
        <f t="shared" si="54"/>
        <v>0.74045814814814814</v>
      </c>
      <c r="E333" s="2">
        <f t="shared" si="55"/>
        <v>0.74045814814814814</v>
      </c>
      <c r="G333" t="str">
        <f t="shared" si="50"/>
        <v>FFDFD7C0</v>
      </c>
      <c r="H333" t="s">
        <v>126</v>
      </c>
      <c r="I333">
        <v>8</v>
      </c>
      <c r="J333">
        <v>1008</v>
      </c>
      <c r="K333" t="s">
        <v>129</v>
      </c>
      <c r="N333" t="s">
        <v>127</v>
      </c>
      <c r="O333">
        <v>0</v>
      </c>
      <c r="P333">
        <v>3</v>
      </c>
      <c r="Q333">
        <v>0</v>
      </c>
      <c r="R333">
        <v>2</v>
      </c>
      <c r="S333">
        <v>1</v>
      </c>
      <c r="T333">
        <v>0</v>
      </c>
      <c r="U333">
        <v>0</v>
      </c>
      <c r="W333" t="str">
        <f>"17:46:15.273"</f>
        <v>17:46:15.273</v>
      </c>
      <c r="X333" t="str">
        <f>"17:46:14.973"</f>
        <v>17:46:14.973</v>
      </c>
      <c r="Y333" t="str">
        <f t="shared" si="51"/>
        <v>A7C771</v>
      </c>
      <c r="Z333">
        <v>0</v>
      </c>
      <c r="AA333">
        <v>0</v>
      </c>
      <c r="AB333">
        <v>2</v>
      </c>
      <c r="AC333">
        <v>0</v>
      </c>
      <c r="AE333">
        <v>0</v>
      </c>
      <c r="AF333">
        <v>8</v>
      </c>
      <c r="AG333">
        <v>3</v>
      </c>
      <c r="AH333">
        <v>0</v>
      </c>
      <c r="AI333">
        <v>9</v>
      </c>
      <c r="AJ333" t="s">
        <v>125</v>
      </c>
      <c r="AK333">
        <v>0</v>
      </c>
      <c r="AL333">
        <v>3</v>
      </c>
      <c r="AM333">
        <v>2</v>
      </c>
      <c r="AN333">
        <v>1</v>
      </c>
      <c r="AO333" t="s">
        <v>797</v>
      </c>
      <c r="AP333">
        <v>43.005229999999997</v>
      </c>
      <c r="AQ333" t="s">
        <v>796</v>
      </c>
      <c r="AR333">
        <v>-77.566222999999994</v>
      </c>
      <c r="AS333">
        <v>25</v>
      </c>
      <c r="AT333">
        <v>2025</v>
      </c>
      <c r="AU333" t="s">
        <v>123</v>
      </c>
      <c r="AV333">
        <v>3</v>
      </c>
      <c r="AW333">
        <v>177</v>
      </c>
      <c r="AX333">
        <v>64</v>
      </c>
      <c r="AZ333">
        <f t="shared" si="56"/>
        <v>9</v>
      </c>
      <c r="BA333">
        <f t="shared" si="57"/>
        <v>31329</v>
      </c>
      <c r="BB333" s="1">
        <f t="shared" si="58"/>
        <v>177.02542190318317</v>
      </c>
      <c r="BJ333">
        <v>1404</v>
      </c>
      <c r="BK333">
        <v>1</v>
      </c>
      <c r="BL333" t="str">
        <f t="shared" si="52"/>
        <v xml:space="preserve">N600C   </v>
      </c>
      <c r="BM333">
        <v>2</v>
      </c>
      <c r="BO333">
        <v>0</v>
      </c>
      <c r="BP333">
        <v>0</v>
      </c>
      <c r="BQ333">
        <v>0</v>
      </c>
      <c r="BR333">
        <v>2200</v>
      </c>
      <c r="BS333">
        <v>175</v>
      </c>
      <c r="BT333" t="s">
        <v>128</v>
      </c>
      <c r="BU333">
        <v>0</v>
      </c>
      <c r="BV333">
        <v>0</v>
      </c>
      <c r="BW333">
        <v>0</v>
      </c>
      <c r="BX333">
        <v>1</v>
      </c>
      <c r="CA333">
        <v>0</v>
      </c>
      <c r="CB333">
        <v>0</v>
      </c>
      <c r="CC333">
        <v>0</v>
      </c>
      <c r="CM333" t="str">
        <f>"17:46:15.277"</f>
        <v>17:46:15.277</v>
      </c>
      <c r="CN333">
        <v>277446559</v>
      </c>
      <c r="CQ333">
        <v>0</v>
      </c>
      <c r="CR333">
        <v>2496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3</v>
      </c>
      <c r="DB333">
        <v>2</v>
      </c>
      <c r="DC333">
        <v>0</v>
      </c>
      <c r="DD333">
        <v>2</v>
      </c>
      <c r="DE333">
        <v>0</v>
      </c>
      <c r="DF333">
        <v>7</v>
      </c>
      <c r="DG333">
        <v>7</v>
      </c>
      <c r="DH333" t="s">
        <v>124</v>
      </c>
      <c r="DI333">
        <v>71</v>
      </c>
      <c r="DJ333">
        <v>1</v>
      </c>
      <c r="DK333" t="s">
        <v>134</v>
      </c>
      <c r="DL333" t="s">
        <v>135</v>
      </c>
      <c r="DO333">
        <v>11526474</v>
      </c>
      <c r="DQ333">
        <v>0</v>
      </c>
      <c r="DR333">
        <v>0</v>
      </c>
      <c r="DS333">
        <v>1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</row>
    <row r="334" spans="1:131" x14ac:dyDescent="0.35">
      <c r="A334" s="2" t="str">
        <f>"17:46:16.584"</f>
        <v>17:46:16.584</v>
      </c>
      <c r="B334" s="4">
        <f t="shared" si="59"/>
        <v>63976.584000000003</v>
      </c>
      <c r="C334" s="4">
        <f t="shared" si="53"/>
        <v>376.58400000000256</v>
      </c>
      <c r="D334" s="3">
        <f t="shared" si="54"/>
        <v>0.74046972222222229</v>
      </c>
      <c r="E334" s="2">
        <f t="shared" si="55"/>
        <v>0.74046972222222229</v>
      </c>
      <c r="G334" t="str">
        <f t="shared" si="50"/>
        <v>FFDFD7C0</v>
      </c>
      <c r="H334" t="s">
        <v>126</v>
      </c>
      <c r="I334">
        <v>8</v>
      </c>
      <c r="J334">
        <v>1008</v>
      </c>
      <c r="K334" t="s">
        <v>129</v>
      </c>
      <c r="N334" t="s">
        <v>127</v>
      </c>
      <c r="O334">
        <v>0</v>
      </c>
      <c r="P334">
        <v>3</v>
      </c>
      <c r="Q334">
        <v>0</v>
      </c>
      <c r="R334">
        <v>2</v>
      </c>
      <c r="S334">
        <v>1</v>
      </c>
      <c r="T334">
        <v>0</v>
      </c>
      <c r="U334">
        <v>0</v>
      </c>
      <c r="W334" t="str">
        <f>"17:46:16.297"</f>
        <v>17:46:16.297</v>
      </c>
      <c r="X334" t="str">
        <f>"17:46:16.097"</f>
        <v>17:46:16.097</v>
      </c>
      <c r="Y334" t="str">
        <f t="shared" si="51"/>
        <v>A7C771</v>
      </c>
      <c r="Z334">
        <v>0</v>
      </c>
      <c r="AA334">
        <v>0</v>
      </c>
      <c r="AB334">
        <v>2</v>
      </c>
      <c r="AC334">
        <v>0</v>
      </c>
      <c r="AE334">
        <v>0</v>
      </c>
      <c r="AF334">
        <v>8</v>
      </c>
      <c r="AG334">
        <v>3</v>
      </c>
      <c r="AH334">
        <v>0</v>
      </c>
      <c r="AI334">
        <v>9</v>
      </c>
      <c r="AJ334" t="s">
        <v>125</v>
      </c>
      <c r="AK334">
        <v>0</v>
      </c>
      <c r="AL334">
        <v>3</v>
      </c>
      <c r="AM334">
        <v>2</v>
      </c>
      <c r="AN334">
        <v>1</v>
      </c>
      <c r="AO334" t="s">
        <v>798</v>
      </c>
      <c r="AP334">
        <v>43.006023999999996</v>
      </c>
      <c r="AQ334" t="s">
        <v>796</v>
      </c>
      <c r="AR334">
        <v>-77.566222999999994</v>
      </c>
      <c r="AS334">
        <v>25</v>
      </c>
      <c r="AT334">
        <v>2025</v>
      </c>
      <c r="AU334" t="s">
        <v>123</v>
      </c>
      <c r="AV334">
        <v>3</v>
      </c>
      <c r="AW334">
        <v>177</v>
      </c>
      <c r="AX334">
        <v>0</v>
      </c>
      <c r="AZ334">
        <f t="shared" si="56"/>
        <v>9</v>
      </c>
      <c r="BA334">
        <f t="shared" si="57"/>
        <v>31329</v>
      </c>
      <c r="BB334" s="1">
        <f t="shared" si="58"/>
        <v>177.02542190318317</v>
      </c>
      <c r="BJ334">
        <v>1404</v>
      </c>
      <c r="BK334">
        <v>1</v>
      </c>
      <c r="BL334" t="str">
        <f t="shared" si="52"/>
        <v xml:space="preserve">N600C   </v>
      </c>
      <c r="BM334">
        <v>2</v>
      </c>
      <c r="BO334">
        <v>0</v>
      </c>
      <c r="BP334">
        <v>0</v>
      </c>
      <c r="BQ334">
        <v>0</v>
      </c>
      <c r="BR334">
        <v>2200</v>
      </c>
      <c r="BS334">
        <v>175</v>
      </c>
      <c r="BT334" t="s">
        <v>128</v>
      </c>
      <c r="BU334">
        <v>0</v>
      </c>
      <c r="BV334">
        <v>0</v>
      </c>
      <c r="BW334">
        <v>0</v>
      </c>
      <c r="BX334">
        <v>1</v>
      </c>
      <c r="CA334">
        <v>0</v>
      </c>
      <c r="CB334">
        <v>0</v>
      </c>
      <c r="CC334">
        <v>0</v>
      </c>
      <c r="CM334" t="str">
        <f>"17:46:16.302"</f>
        <v>17:46:16.302</v>
      </c>
      <c r="CN334">
        <v>301631466</v>
      </c>
      <c r="CQ334">
        <v>0</v>
      </c>
      <c r="CR334">
        <v>2496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3</v>
      </c>
      <c r="DB334">
        <v>2</v>
      </c>
      <c r="DC334">
        <v>0</v>
      </c>
      <c r="DD334">
        <v>2</v>
      </c>
      <c r="DE334">
        <v>0</v>
      </c>
      <c r="DF334">
        <v>7</v>
      </c>
      <c r="DG334">
        <v>7</v>
      </c>
      <c r="DH334" t="s">
        <v>124</v>
      </c>
      <c r="DI334">
        <v>71</v>
      </c>
      <c r="DJ334">
        <v>0</v>
      </c>
      <c r="DK334" t="s">
        <v>134</v>
      </c>
      <c r="DL334" t="s">
        <v>135</v>
      </c>
      <c r="DO334">
        <v>10175705</v>
      </c>
      <c r="DQ334">
        <v>0</v>
      </c>
      <c r="DR334">
        <v>0</v>
      </c>
      <c r="DS334">
        <v>1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</row>
    <row r="335" spans="1:131" x14ac:dyDescent="0.35">
      <c r="A335" s="2" t="str">
        <f>"17:46:17.725"</f>
        <v>17:46:17.725</v>
      </c>
      <c r="B335" s="4">
        <f t="shared" si="59"/>
        <v>63977.724999999999</v>
      </c>
      <c r="C335" s="4">
        <f t="shared" si="53"/>
        <v>377.72499999999854</v>
      </c>
      <c r="D335" s="3">
        <f t="shared" si="54"/>
        <v>0.74048292824074069</v>
      </c>
      <c r="E335" s="2">
        <f t="shared" si="55"/>
        <v>0.74048292824074069</v>
      </c>
      <c r="G335" t="str">
        <f t="shared" si="50"/>
        <v>FFDFD7C0</v>
      </c>
      <c r="H335" t="s">
        <v>126</v>
      </c>
      <c r="I335">
        <v>8</v>
      </c>
      <c r="J335">
        <v>1008</v>
      </c>
      <c r="K335" t="s">
        <v>129</v>
      </c>
      <c r="N335" t="s">
        <v>127</v>
      </c>
      <c r="O335">
        <v>0</v>
      </c>
      <c r="P335">
        <v>3</v>
      </c>
      <c r="Q335">
        <v>0</v>
      </c>
      <c r="R335">
        <v>2</v>
      </c>
      <c r="S335">
        <v>1</v>
      </c>
      <c r="T335">
        <v>0</v>
      </c>
      <c r="U335">
        <v>0</v>
      </c>
      <c r="W335" t="str">
        <f>"17:46:17.461"</f>
        <v>17:46:17.461</v>
      </c>
      <c r="X335" t="str">
        <f>"17:46:17.461"</f>
        <v>17:46:17.461</v>
      </c>
      <c r="Y335" t="str">
        <f t="shared" si="51"/>
        <v>A7C771</v>
      </c>
      <c r="Z335">
        <v>0</v>
      </c>
      <c r="AA335">
        <v>0</v>
      </c>
      <c r="AB335">
        <v>2</v>
      </c>
      <c r="AC335">
        <v>0</v>
      </c>
      <c r="AE335">
        <v>0</v>
      </c>
      <c r="AF335">
        <v>8</v>
      </c>
      <c r="AG335">
        <v>3</v>
      </c>
      <c r="AH335">
        <v>0</v>
      </c>
      <c r="AI335">
        <v>9</v>
      </c>
      <c r="AJ335" t="s">
        <v>125</v>
      </c>
      <c r="AK335">
        <v>0</v>
      </c>
      <c r="AL335">
        <v>3</v>
      </c>
      <c r="AM335">
        <v>2</v>
      </c>
      <c r="AN335">
        <v>1</v>
      </c>
      <c r="AO335" t="s">
        <v>799</v>
      </c>
      <c r="AP335">
        <v>43.007010999999999</v>
      </c>
      <c r="AQ335" t="s">
        <v>800</v>
      </c>
      <c r="AR335">
        <v>-77.566158999999999</v>
      </c>
      <c r="AS335">
        <v>25</v>
      </c>
      <c r="AT335">
        <v>2025</v>
      </c>
      <c r="AU335" t="s">
        <v>123</v>
      </c>
      <c r="AV335">
        <v>3</v>
      </c>
      <c r="AW335">
        <v>177</v>
      </c>
      <c r="AX335">
        <v>0</v>
      </c>
      <c r="AZ335">
        <f t="shared" si="56"/>
        <v>9</v>
      </c>
      <c r="BA335">
        <f t="shared" si="57"/>
        <v>31329</v>
      </c>
      <c r="BB335" s="1">
        <f t="shared" si="58"/>
        <v>177.02542190318317</v>
      </c>
      <c r="BJ335">
        <v>1404</v>
      </c>
      <c r="BK335">
        <v>1</v>
      </c>
      <c r="BL335" t="str">
        <f t="shared" si="52"/>
        <v xml:space="preserve">N600C   </v>
      </c>
      <c r="BM335">
        <v>2</v>
      </c>
      <c r="BO335">
        <v>0</v>
      </c>
      <c r="BP335">
        <v>0</v>
      </c>
      <c r="BQ335">
        <v>0</v>
      </c>
      <c r="BR335">
        <v>2200</v>
      </c>
      <c r="BS335">
        <v>175</v>
      </c>
      <c r="BT335" t="s">
        <v>128</v>
      </c>
      <c r="BU335">
        <v>0</v>
      </c>
      <c r="BV335">
        <v>0</v>
      </c>
      <c r="BW335">
        <v>0</v>
      </c>
      <c r="BX335">
        <v>1</v>
      </c>
      <c r="CA335">
        <v>0</v>
      </c>
      <c r="CB335">
        <v>0</v>
      </c>
      <c r="CC335">
        <v>0</v>
      </c>
      <c r="CM335" t="str">
        <f>"17:46:17.462"</f>
        <v>17:46:17.462</v>
      </c>
      <c r="CN335">
        <v>461855571</v>
      </c>
      <c r="CQ335">
        <v>0</v>
      </c>
      <c r="CR335">
        <v>2496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3</v>
      </c>
      <c r="DB335">
        <v>2</v>
      </c>
      <c r="DC335">
        <v>0</v>
      </c>
      <c r="DD335">
        <v>2</v>
      </c>
      <c r="DE335">
        <v>0</v>
      </c>
      <c r="DF335">
        <v>7</v>
      </c>
      <c r="DG335">
        <v>7</v>
      </c>
      <c r="DH335" t="s">
        <v>124</v>
      </c>
      <c r="DI335">
        <v>71</v>
      </c>
      <c r="DJ335">
        <v>1</v>
      </c>
      <c r="DK335" t="s">
        <v>134</v>
      </c>
      <c r="DL335" t="s">
        <v>135</v>
      </c>
      <c r="DO335">
        <v>11528517</v>
      </c>
      <c r="DQ335">
        <v>0</v>
      </c>
      <c r="DR335">
        <v>0</v>
      </c>
      <c r="DS335">
        <v>1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</row>
    <row r="336" spans="1:131" x14ac:dyDescent="0.35">
      <c r="A336" s="2" t="str">
        <f>"17:46:18.711"</f>
        <v>17:46:18.711</v>
      </c>
      <c r="B336" s="4">
        <f t="shared" si="59"/>
        <v>63978.711000000003</v>
      </c>
      <c r="C336" s="4">
        <f t="shared" si="53"/>
        <v>378.71100000000297</v>
      </c>
      <c r="D336" s="3">
        <f t="shared" si="54"/>
        <v>0.74049434027777783</v>
      </c>
      <c r="E336" s="2">
        <f t="shared" si="55"/>
        <v>0.74049434027777783</v>
      </c>
      <c r="G336" t="str">
        <f t="shared" si="50"/>
        <v>FFDFD7C0</v>
      </c>
      <c r="H336" t="s">
        <v>126</v>
      </c>
      <c r="I336">
        <v>8</v>
      </c>
      <c r="J336">
        <v>1008</v>
      </c>
      <c r="K336" t="s">
        <v>129</v>
      </c>
      <c r="N336" t="s">
        <v>127</v>
      </c>
      <c r="O336">
        <v>0</v>
      </c>
      <c r="P336">
        <v>3</v>
      </c>
      <c r="Q336">
        <v>0</v>
      </c>
      <c r="R336">
        <v>2</v>
      </c>
      <c r="S336">
        <v>1</v>
      </c>
      <c r="T336">
        <v>0</v>
      </c>
      <c r="U336">
        <v>0</v>
      </c>
      <c r="W336" t="str">
        <f>"17:46:18.492"</f>
        <v>17:46:18.492</v>
      </c>
      <c r="X336" t="str">
        <f>"17:46:18.392"</f>
        <v>17:46:18.392</v>
      </c>
      <c r="Y336" t="str">
        <f t="shared" si="51"/>
        <v>A7C771</v>
      </c>
      <c r="Z336">
        <v>0</v>
      </c>
      <c r="AA336">
        <v>0</v>
      </c>
      <c r="AB336">
        <v>2</v>
      </c>
      <c r="AC336">
        <v>0</v>
      </c>
      <c r="AE336">
        <v>0</v>
      </c>
      <c r="AF336">
        <v>8</v>
      </c>
      <c r="AG336">
        <v>3</v>
      </c>
      <c r="AH336">
        <v>0</v>
      </c>
      <c r="AI336">
        <v>9</v>
      </c>
      <c r="AJ336" t="s">
        <v>125</v>
      </c>
      <c r="AK336">
        <v>0</v>
      </c>
      <c r="AL336">
        <v>3</v>
      </c>
      <c r="AM336">
        <v>2</v>
      </c>
      <c r="AN336">
        <v>1</v>
      </c>
      <c r="AO336" t="s">
        <v>801</v>
      </c>
      <c r="AP336">
        <v>43.007848000000003</v>
      </c>
      <c r="AQ336" t="s">
        <v>800</v>
      </c>
      <c r="AR336">
        <v>-77.566158999999999</v>
      </c>
      <c r="AS336">
        <v>25</v>
      </c>
      <c r="AT336">
        <v>2025</v>
      </c>
      <c r="AU336" t="s">
        <v>123</v>
      </c>
      <c r="AV336">
        <v>2</v>
      </c>
      <c r="AW336">
        <v>176</v>
      </c>
      <c r="AX336">
        <v>-64</v>
      </c>
      <c r="AZ336">
        <f t="shared" si="56"/>
        <v>4</v>
      </c>
      <c r="BA336">
        <f t="shared" si="57"/>
        <v>30976</v>
      </c>
      <c r="BB336" s="1">
        <f t="shared" si="58"/>
        <v>176.0113632695344</v>
      </c>
      <c r="BJ336">
        <v>1404</v>
      </c>
      <c r="BK336">
        <v>1</v>
      </c>
      <c r="BL336" t="str">
        <f t="shared" si="52"/>
        <v xml:space="preserve">N600C   </v>
      </c>
      <c r="BM336">
        <v>2</v>
      </c>
      <c r="BO336">
        <v>0</v>
      </c>
      <c r="BP336">
        <v>0</v>
      </c>
      <c r="BQ336">
        <v>0</v>
      </c>
      <c r="BR336">
        <v>2200</v>
      </c>
      <c r="BS336">
        <v>175</v>
      </c>
      <c r="BT336" t="s">
        <v>128</v>
      </c>
      <c r="BU336">
        <v>0</v>
      </c>
      <c r="BV336">
        <v>0</v>
      </c>
      <c r="BW336">
        <v>0</v>
      </c>
      <c r="BX336">
        <v>1</v>
      </c>
      <c r="CA336">
        <v>0</v>
      </c>
      <c r="CB336">
        <v>0</v>
      </c>
      <c r="CC336">
        <v>0</v>
      </c>
      <c r="CM336" t="str">
        <f>"17:46:18.494"</f>
        <v>17:46:18.494</v>
      </c>
      <c r="CN336">
        <v>494029664</v>
      </c>
      <c r="CQ336">
        <v>0</v>
      </c>
      <c r="CR336">
        <v>2496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3</v>
      </c>
      <c r="DB336">
        <v>2</v>
      </c>
      <c r="DC336">
        <v>0</v>
      </c>
      <c r="DD336">
        <v>2</v>
      </c>
      <c r="DE336">
        <v>0</v>
      </c>
      <c r="DF336">
        <v>7</v>
      </c>
      <c r="DG336">
        <v>7</v>
      </c>
      <c r="DH336" t="s">
        <v>124</v>
      </c>
      <c r="DI336">
        <v>71</v>
      </c>
      <c r="DJ336">
        <v>0</v>
      </c>
      <c r="DK336" t="s">
        <v>134</v>
      </c>
      <c r="DL336" t="s">
        <v>135</v>
      </c>
      <c r="DO336">
        <v>10177350</v>
      </c>
      <c r="DQ336">
        <v>0</v>
      </c>
      <c r="DR336">
        <v>0</v>
      </c>
      <c r="DS336">
        <v>1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</row>
    <row r="337" spans="1:131" x14ac:dyDescent="0.35">
      <c r="A337" s="2" t="str">
        <f>"17:46:19.631"</f>
        <v>17:46:19.631</v>
      </c>
      <c r="B337" s="4">
        <f t="shared" si="59"/>
        <v>63979.631000000001</v>
      </c>
      <c r="C337" s="4">
        <f t="shared" si="53"/>
        <v>379.63100000000122</v>
      </c>
      <c r="D337" s="3">
        <f t="shared" si="54"/>
        <v>0.74050498842592594</v>
      </c>
      <c r="E337" s="2">
        <f t="shared" si="55"/>
        <v>0.74050498842592594</v>
      </c>
      <c r="G337" t="str">
        <f t="shared" si="50"/>
        <v>FFDFD7C0</v>
      </c>
      <c r="H337" t="s">
        <v>126</v>
      </c>
      <c r="I337">
        <v>8</v>
      </c>
      <c r="J337">
        <v>1008</v>
      </c>
      <c r="K337" t="s">
        <v>129</v>
      </c>
      <c r="N337" t="s">
        <v>127</v>
      </c>
      <c r="O337">
        <v>0</v>
      </c>
      <c r="P337">
        <v>3</v>
      </c>
      <c r="Q337">
        <v>0</v>
      </c>
      <c r="R337">
        <v>2</v>
      </c>
      <c r="S337">
        <v>1</v>
      </c>
      <c r="T337">
        <v>0</v>
      </c>
      <c r="U337">
        <v>0</v>
      </c>
      <c r="W337" t="str">
        <f>"17:46:19.398"</f>
        <v>17:46:19.398</v>
      </c>
      <c r="X337" t="str">
        <f>"17:46:18.998"</f>
        <v>17:46:18.998</v>
      </c>
      <c r="Y337" t="str">
        <f t="shared" si="51"/>
        <v>A7C771</v>
      </c>
      <c r="Z337">
        <v>0</v>
      </c>
      <c r="AA337">
        <v>0</v>
      </c>
      <c r="AB337">
        <v>2</v>
      </c>
      <c r="AC337">
        <v>0</v>
      </c>
      <c r="AE337">
        <v>0</v>
      </c>
      <c r="AF337">
        <v>8</v>
      </c>
      <c r="AG337">
        <v>3</v>
      </c>
      <c r="AH337">
        <v>0</v>
      </c>
      <c r="AI337">
        <v>9</v>
      </c>
      <c r="AJ337" t="s">
        <v>125</v>
      </c>
      <c r="AK337">
        <v>0</v>
      </c>
      <c r="AL337">
        <v>3</v>
      </c>
      <c r="AM337">
        <v>2</v>
      </c>
      <c r="AN337">
        <v>1</v>
      </c>
      <c r="AO337" t="s">
        <v>802</v>
      </c>
      <c r="AP337">
        <v>43.008535000000002</v>
      </c>
      <c r="AQ337" t="s">
        <v>800</v>
      </c>
      <c r="AR337">
        <v>-77.566158999999999</v>
      </c>
      <c r="AS337">
        <v>25</v>
      </c>
      <c r="AT337">
        <v>2025</v>
      </c>
      <c r="AU337" t="s">
        <v>123</v>
      </c>
      <c r="AV337">
        <v>2</v>
      </c>
      <c r="AW337">
        <v>176</v>
      </c>
      <c r="AX337">
        <v>-64</v>
      </c>
      <c r="AZ337">
        <f t="shared" si="56"/>
        <v>4</v>
      </c>
      <c r="BA337">
        <f t="shared" si="57"/>
        <v>30976</v>
      </c>
      <c r="BB337" s="1">
        <f t="shared" si="58"/>
        <v>176.0113632695344</v>
      </c>
      <c r="BJ337">
        <v>1404</v>
      </c>
      <c r="BK337">
        <v>1</v>
      </c>
      <c r="BL337" t="str">
        <f t="shared" si="52"/>
        <v xml:space="preserve">N600C   </v>
      </c>
      <c r="BM337">
        <v>2</v>
      </c>
      <c r="BO337">
        <v>0</v>
      </c>
      <c r="BP337">
        <v>0</v>
      </c>
      <c r="BQ337">
        <v>0</v>
      </c>
      <c r="BR337">
        <v>2200</v>
      </c>
      <c r="BS337">
        <v>175</v>
      </c>
      <c r="BT337" t="s">
        <v>128</v>
      </c>
      <c r="BU337">
        <v>0</v>
      </c>
      <c r="BV337">
        <v>0</v>
      </c>
      <c r="BW337">
        <v>0</v>
      </c>
      <c r="BX337">
        <v>1</v>
      </c>
      <c r="CA337">
        <v>0</v>
      </c>
      <c r="CB337">
        <v>0</v>
      </c>
      <c r="CC337">
        <v>0</v>
      </c>
      <c r="CM337" t="str">
        <f>"17:46:19.406"</f>
        <v>17:46:19.406</v>
      </c>
      <c r="CN337">
        <v>406201077</v>
      </c>
      <c r="CQ337">
        <v>0</v>
      </c>
      <c r="CR337">
        <v>2496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3</v>
      </c>
      <c r="DB337">
        <v>2</v>
      </c>
      <c r="DC337">
        <v>0</v>
      </c>
      <c r="DD337">
        <v>2</v>
      </c>
      <c r="DE337">
        <v>0</v>
      </c>
      <c r="DF337">
        <v>7</v>
      </c>
      <c r="DG337">
        <v>7</v>
      </c>
      <c r="DH337" t="s">
        <v>124</v>
      </c>
      <c r="DI337">
        <v>407</v>
      </c>
      <c r="DJ337">
        <v>3</v>
      </c>
      <c r="DK337" t="s">
        <v>132</v>
      </c>
      <c r="DL337" t="s">
        <v>133</v>
      </c>
      <c r="DO337">
        <v>1595123</v>
      </c>
      <c r="DQ337">
        <v>0</v>
      </c>
      <c r="DR337">
        <v>0</v>
      </c>
      <c r="DS337">
        <v>1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</row>
    <row r="338" spans="1:131" x14ac:dyDescent="0.35">
      <c r="A338" s="2" t="str">
        <f>"17:46:20.584"</f>
        <v>17:46:20.584</v>
      </c>
      <c r="B338" s="4">
        <f t="shared" si="59"/>
        <v>63980.584000000003</v>
      </c>
      <c r="C338" s="4">
        <f t="shared" si="53"/>
        <v>380.58400000000256</v>
      </c>
      <c r="D338" s="3">
        <f t="shared" si="54"/>
        <v>0.74051601851851856</v>
      </c>
      <c r="E338" s="2">
        <f t="shared" si="55"/>
        <v>0.74051601851851856</v>
      </c>
      <c r="G338" t="str">
        <f t="shared" si="50"/>
        <v>FFDFD7C0</v>
      </c>
      <c r="H338" t="s">
        <v>126</v>
      </c>
      <c r="I338">
        <v>8</v>
      </c>
      <c r="J338">
        <v>1008</v>
      </c>
      <c r="K338" t="s">
        <v>129</v>
      </c>
      <c r="N338" t="s">
        <v>127</v>
      </c>
      <c r="O338">
        <v>0</v>
      </c>
      <c r="P338">
        <v>3</v>
      </c>
      <c r="Q338">
        <v>0</v>
      </c>
      <c r="R338">
        <v>2</v>
      </c>
      <c r="S338">
        <v>1</v>
      </c>
      <c r="T338">
        <v>0</v>
      </c>
      <c r="U338">
        <v>0</v>
      </c>
      <c r="W338" t="str">
        <f>"17:46:20.289"</f>
        <v>17:46:20.289</v>
      </c>
      <c r="X338" t="str">
        <f>"17:46:19.989"</f>
        <v>17:46:19.989</v>
      </c>
      <c r="Y338" t="str">
        <f t="shared" si="51"/>
        <v>A7C771</v>
      </c>
      <c r="Z338">
        <v>0</v>
      </c>
      <c r="AA338">
        <v>0</v>
      </c>
      <c r="AB338">
        <v>2</v>
      </c>
      <c r="AC338">
        <v>0</v>
      </c>
      <c r="AE338">
        <v>0</v>
      </c>
      <c r="AF338">
        <v>8</v>
      </c>
      <c r="AG338">
        <v>3</v>
      </c>
      <c r="AH338">
        <v>0</v>
      </c>
      <c r="AI338">
        <v>9</v>
      </c>
      <c r="AJ338" t="s">
        <v>125</v>
      </c>
      <c r="AK338">
        <v>0</v>
      </c>
      <c r="AL338">
        <v>3</v>
      </c>
      <c r="AM338">
        <v>2</v>
      </c>
      <c r="AN338">
        <v>1</v>
      </c>
      <c r="AO338" t="s">
        <v>803</v>
      </c>
      <c r="AP338">
        <v>43.009286000000003</v>
      </c>
      <c r="AQ338" t="s">
        <v>800</v>
      </c>
      <c r="AR338">
        <v>-77.566158999999999</v>
      </c>
      <c r="AS338">
        <v>25</v>
      </c>
      <c r="AT338">
        <v>2025</v>
      </c>
      <c r="AU338" t="s">
        <v>123</v>
      </c>
      <c r="AV338">
        <v>2</v>
      </c>
      <c r="AW338">
        <v>176</v>
      </c>
      <c r="AX338">
        <v>-64</v>
      </c>
      <c r="AZ338">
        <f t="shared" si="56"/>
        <v>4</v>
      </c>
      <c r="BA338">
        <f t="shared" si="57"/>
        <v>30976</v>
      </c>
      <c r="BB338" s="1">
        <f t="shared" si="58"/>
        <v>176.0113632695344</v>
      </c>
      <c r="BJ338">
        <v>1404</v>
      </c>
      <c r="BK338">
        <v>1</v>
      </c>
      <c r="BL338" t="str">
        <f t="shared" si="52"/>
        <v xml:space="preserve">N600C   </v>
      </c>
      <c r="BM338">
        <v>2</v>
      </c>
      <c r="BO338">
        <v>0</v>
      </c>
      <c r="BP338">
        <v>0</v>
      </c>
      <c r="BQ338">
        <v>0</v>
      </c>
      <c r="BR338">
        <v>2200</v>
      </c>
      <c r="BS338">
        <v>175</v>
      </c>
      <c r="BT338" t="s">
        <v>128</v>
      </c>
      <c r="BU338">
        <v>0</v>
      </c>
      <c r="BV338">
        <v>0</v>
      </c>
      <c r="BW338">
        <v>0</v>
      </c>
      <c r="BX338">
        <v>1</v>
      </c>
      <c r="CA338">
        <v>0</v>
      </c>
      <c r="CB338">
        <v>0</v>
      </c>
      <c r="CC338">
        <v>0</v>
      </c>
      <c r="CM338" t="str">
        <f>"17:46:20.294"</f>
        <v>17:46:20.294</v>
      </c>
      <c r="CN338">
        <v>294366029</v>
      </c>
      <c r="CQ338">
        <v>0</v>
      </c>
      <c r="CR338">
        <v>2496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3</v>
      </c>
      <c r="DB338">
        <v>2</v>
      </c>
      <c r="DC338">
        <v>0</v>
      </c>
      <c r="DD338">
        <v>2</v>
      </c>
      <c r="DE338">
        <v>0</v>
      </c>
      <c r="DF338">
        <v>7</v>
      </c>
      <c r="DG338">
        <v>7</v>
      </c>
      <c r="DH338" t="s">
        <v>124</v>
      </c>
      <c r="DI338">
        <v>71</v>
      </c>
      <c r="DJ338">
        <v>1</v>
      </c>
      <c r="DK338" t="s">
        <v>134</v>
      </c>
      <c r="DL338" t="s">
        <v>135</v>
      </c>
      <c r="DO338">
        <v>11530683</v>
      </c>
      <c r="DQ338">
        <v>0</v>
      </c>
      <c r="DR338">
        <v>0</v>
      </c>
      <c r="DS338">
        <v>1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</row>
    <row r="339" spans="1:131" x14ac:dyDescent="0.35">
      <c r="A339" s="2" t="str">
        <f>"17:46:21.537"</f>
        <v>17:46:21.537</v>
      </c>
      <c r="B339" s="4">
        <f t="shared" si="59"/>
        <v>63981.536999999997</v>
      </c>
      <c r="C339" s="4">
        <f t="shared" si="53"/>
        <v>381.53699999999662</v>
      </c>
      <c r="D339" s="3">
        <f t="shared" si="54"/>
        <v>0.74052704861111107</v>
      </c>
      <c r="E339" s="2">
        <f t="shared" si="55"/>
        <v>0.74052704861111107</v>
      </c>
      <c r="G339" t="str">
        <f t="shared" si="50"/>
        <v>FFDFD7C0</v>
      </c>
      <c r="H339" t="s">
        <v>126</v>
      </c>
      <c r="I339">
        <v>8</v>
      </c>
      <c r="J339">
        <v>1008</v>
      </c>
      <c r="K339" t="s">
        <v>129</v>
      </c>
      <c r="N339" t="s">
        <v>127</v>
      </c>
      <c r="O339">
        <v>0</v>
      </c>
      <c r="P339">
        <v>3</v>
      </c>
      <c r="Q339">
        <v>0</v>
      </c>
      <c r="R339">
        <v>2</v>
      </c>
      <c r="S339">
        <v>1</v>
      </c>
      <c r="T339">
        <v>0</v>
      </c>
      <c r="U339">
        <v>0</v>
      </c>
      <c r="W339" t="str">
        <f>"17:46:21.242"</f>
        <v>17:46:21.242</v>
      </c>
      <c r="X339" t="str">
        <f>"17:46:21.042"</f>
        <v>17:46:21.042</v>
      </c>
      <c r="Y339" t="str">
        <f t="shared" si="51"/>
        <v>A7C771</v>
      </c>
      <c r="Z339">
        <v>0</v>
      </c>
      <c r="AA339">
        <v>0</v>
      </c>
      <c r="AB339">
        <v>2</v>
      </c>
      <c r="AC339">
        <v>0</v>
      </c>
      <c r="AE339">
        <v>0</v>
      </c>
      <c r="AF339">
        <v>8</v>
      </c>
      <c r="AG339">
        <v>3</v>
      </c>
      <c r="AH339">
        <v>0</v>
      </c>
      <c r="AI339">
        <v>9</v>
      </c>
      <c r="AJ339" t="s">
        <v>125</v>
      </c>
      <c r="AK339">
        <v>0</v>
      </c>
      <c r="AL339">
        <v>3</v>
      </c>
      <c r="AM339">
        <v>2</v>
      </c>
      <c r="AN339">
        <v>1</v>
      </c>
      <c r="AO339" t="s">
        <v>804</v>
      </c>
      <c r="AP339">
        <v>43.010123</v>
      </c>
      <c r="AQ339" t="s">
        <v>800</v>
      </c>
      <c r="AR339">
        <v>-77.566158999999999</v>
      </c>
      <c r="AS339">
        <v>25</v>
      </c>
      <c r="AT339">
        <v>2000</v>
      </c>
      <c r="AU339" t="s">
        <v>123</v>
      </c>
      <c r="AV339">
        <v>2</v>
      </c>
      <c r="AW339">
        <v>175</v>
      </c>
      <c r="AX339">
        <v>-128</v>
      </c>
      <c r="AZ339">
        <f t="shared" si="56"/>
        <v>4</v>
      </c>
      <c r="BA339">
        <f t="shared" si="57"/>
        <v>30625</v>
      </c>
      <c r="BB339" s="1">
        <f t="shared" si="58"/>
        <v>175.0114281982751</v>
      </c>
      <c r="BJ339">
        <v>1404</v>
      </c>
      <c r="BK339">
        <v>1</v>
      </c>
      <c r="BL339" t="str">
        <f t="shared" si="52"/>
        <v xml:space="preserve">N600C   </v>
      </c>
      <c r="BM339">
        <v>2</v>
      </c>
      <c r="BO339">
        <v>0</v>
      </c>
      <c r="BP339">
        <v>0</v>
      </c>
      <c r="BQ339">
        <v>0</v>
      </c>
      <c r="BR339">
        <v>2175</v>
      </c>
      <c r="BS339">
        <v>175</v>
      </c>
      <c r="BT339" t="s">
        <v>128</v>
      </c>
      <c r="BU339">
        <v>0</v>
      </c>
      <c r="BV339">
        <v>0</v>
      </c>
      <c r="BW339">
        <v>0</v>
      </c>
      <c r="BX339">
        <v>1</v>
      </c>
      <c r="CA339">
        <v>0</v>
      </c>
      <c r="CB339">
        <v>0</v>
      </c>
      <c r="CC339">
        <v>0</v>
      </c>
      <c r="CM339" t="str">
        <f>"17:46:21.247"</f>
        <v>17:46:21.247</v>
      </c>
      <c r="CN339">
        <v>246542257</v>
      </c>
      <c r="CQ339">
        <v>0</v>
      </c>
      <c r="CR339">
        <v>2496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3</v>
      </c>
      <c r="DB339">
        <v>2</v>
      </c>
      <c r="DC339">
        <v>0</v>
      </c>
      <c r="DD339">
        <v>2</v>
      </c>
      <c r="DE339">
        <v>0</v>
      </c>
      <c r="DF339">
        <v>7</v>
      </c>
      <c r="DG339">
        <v>7</v>
      </c>
      <c r="DH339" t="s">
        <v>124</v>
      </c>
      <c r="DI339">
        <v>71</v>
      </c>
      <c r="DJ339">
        <v>1</v>
      </c>
      <c r="DK339" t="s">
        <v>134</v>
      </c>
      <c r="DL339" t="s">
        <v>135</v>
      </c>
      <c r="DO339">
        <v>11531508</v>
      </c>
      <c r="DQ339">
        <v>0</v>
      </c>
      <c r="DR339">
        <v>0</v>
      </c>
      <c r="DS339">
        <v>1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</row>
    <row r="340" spans="1:131" x14ac:dyDescent="0.35">
      <c r="A340" s="2" t="str">
        <f>"17:46:22.600"</f>
        <v>17:46:22.600</v>
      </c>
      <c r="B340" s="4">
        <f t="shared" si="59"/>
        <v>63982.6</v>
      </c>
      <c r="C340" s="4">
        <f t="shared" si="53"/>
        <v>382.59999999999854</v>
      </c>
      <c r="D340" s="3">
        <f t="shared" si="54"/>
        <v>0.74053935185185182</v>
      </c>
      <c r="E340" s="2">
        <f t="shared" si="55"/>
        <v>0.74053935185185182</v>
      </c>
      <c r="G340" t="str">
        <f t="shared" si="50"/>
        <v>FFDFD7C0</v>
      </c>
      <c r="H340" t="s">
        <v>126</v>
      </c>
      <c r="I340">
        <v>8</v>
      </c>
      <c r="J340">
        <v>1008</v>
      </c>
      <c r="K340" t="s">
        <v>129</v>
      </c>
      <c r="N340" t="s">
        <v>127</v>
      </c>
      <c r="O340">
        <v>0</v>
      </c>
      <c r="P340">
        <v>3</v>
      </c>
      <c r="Q340">
        <v>0</v>
      </c>
      <c r="R340">
        <v>2</v>
      </c>
      <c r="S340">
        <v>1</v>
      </c>
      <c r="T340">
        <v>0</v>
      </c>
      <c r="U340">
        <v>0</v>
      </c>
      <c r="W340" t="str">
        <f>"17:46:22.359"</f>
        <v>17:46:22.359</v>
      </c>
      <c r="X340" t="str">
        <f>"17:46:21.959"</f>
        <v>17:46:21.959</v>
      </c>
      <c r="Y340" t="str">
        <f t="shared" si="51"/>
        <v>A7C771</v>
      </c>
      <c r="Z340">
        <v>0</v>
      </c>
      <c r="AA340">
        <v>0</v>
      </c>
      <c r="AB340">
        <v>2</v>
      </c>
      <c r="AC340">
        <v>0</v>
      </c>
      <c r="AE340">
        <v>0</v>
      </c>
      <c r="AF340">
        <v>8</v>
      </c>
      <c r="AG340">
        <v>3</v>
      </c>
      <c r="AH340">
        <v>0</v>
      </c>
      <c r="AI340">
        <v>9</v>
      </c>
      <c r="AJ340" t="s">
        <v>125</v>
      </c>
      <c r="AK340">
        <v>0</v>
      </c>
      <c r="AL340">
        <v>3</v>
      </c>
      <c r="AM340">
        <v>2</v>
      </c>
      <c r="AN340">
        <v>1</v>
      </c>
      <c r="AO340" t="s">
        <v>805</v>
      </c>
      <c r="AP340">
        <v>43.011023999999999</v>
      </c>
      <c r="AQ340" t="s">
        <v>800</v>
      </c>
      <c r="AR340">
        <v>-77.566158999999999</v>
      </c>
      <c r="AS340">
        <v>25</v>
      </c>
      <c r="AT340">
        <v>2000</v>
      </c>
      <c r="AU340" t="s">
        <v>123</v>
      </c>
      <c r="AV340">
        <v>1</v>
      </c>
      <c r="AW340">
        <v>175</v>
      </c>
      <c r="AX340">
        <v>-192</v>
      </c>
      <c r="AZ340">
        <f t="shared" si="56"/>
        <v>1</v>
      </c>
      <c r="BA340">
        <f t="shared" si="57"/>
        <v>30625</v>
      </c>
      <c r="BB340" s="1">
        <f t="shared" si="58"/>
        <v>175.0028571195339</v>
      </c>
      <c r="BJ340">
        <v>1404</v>
      </c>
      <c r="BK340">
        <v>1</v>
      </c>
      <c r="BL340" t="str">
        <f t="shared" si="52"/>
        <v xml:space="preserve">N600C   </v>
      </c>
      <c r="BM340">
        <v>2</v>
      </c>
      <c r="BO340">
        <v>0</v>
      </c>
      <c r="BP340">
        <v>0</v>
      </c>
      <c r="BQ340">
        <v>0</v>
      </c>
      <c r="BR340">
        <v>2175</v>
      </c>
      <c r="BS340">
        <v>175</v>
      </c>
      <c r="BT340" t="s">
        <v>128</v>
      </c>
      <c r="BU340">
        <v>0</v>
      </c>
      <c r="BV340">
        <v>0</v>
      </c>
      <c r="BW340">
        <v>0</v>
      </c>
      <c r="BX340">
        <v>1</v>
      </c>
      <c r="CA340">
        <v>0</v>
      </c>
      <c r="CB340">
        <v>0</v>
      </c>
      <c r="CC340">
        <v>0</v>
      </c>
      <c r="CM340" t="str">
        <f>"17:46:22.367"</f>
        <v>17:46:22.367</v>
      </c>
      <c r="CN340">
        <v>366812087</v>
      </c>
      <c r="CQ340">
        <v>0</v>
      </c>
      <c r="CR340">
        <v>2496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3</v>
      </c>
      <c r="DB340">
        <v>2</v>
      </c>
      <c r="DC340">
        <v>0</v>
      </c>
      <c r="DD340">
        <v>2</v>
      </c>
      <c r="DE340">
        <v>0</v>
      </c>
      <c r="DF340">
        <v>7</v>
      </c>
      <c r="DG340">
        <v>7</v>
      </c>
      <c r="DH340" t="s">
        <v>124</v>
      </c>
      <c r="DI340">
        <v>71</v>
      </c>
      <c r="DJ340">
        <v>0</v>
      </c>
      <c r="DK340" t="s">
        <v>134</v>
      </c>
      <c r="DL340" t="s">
        <v>135</v>
      </c>
      <c r="DO340">
        <v>10180118</v>
      </c>
      <c r="DQ340">
        <v>0</v>
      </c>
      <c r="DR340">
        <v>0</v>
      </c>
      <c r="DS340">
        <v>1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</row>
    <row r="341" spans="1:131" x14ac:dyDescent="0.35">
      <c r="A341" s="2" t="str">
        <f>"17:46:23.710"</f>
        <v>17:46:23.710</v>
      </c>
      <c r="B341" s="4">
        <f t="shared" si="59"/>
        <v>63983.71</v>
      </c>
      <c r="C341" s="4">
        <f t="shared" si="53"/>
        <v>383.70999999999913</v>
      </c>
      <c r="D341" s="3">
        <f t="shared" si="54"/>
        <v>0.7405521990740741</v>
      </c>
      <c r="E341" s="2">
        <f t="shared" si="55"/>
        <v>0.7405521990740741</v>
      </c>
      <c r="G341" t="str">
        <f t="shared" si="50"/>
        <v>FFDFD7C0</v>
      </c>
      <c r="H341" t="s">
        <v>126</v>
      </c>
      <c r="I341">
        <v>8</v>
      </c>
      <c r="J341">
        <v>1008</v>
      </c>
      <c r="K341" t="s">
        <v>129</v>
      </c>
      <c r="N341" t="s">
        <v>127</v>
      </c>
      <c r="O341">
        <v>0</v>
      </c>
      <c r="P341">
        <v>3</v>
      </c>
      <c r="Q341">
        <v>0</v>
      </c>
      <c r="R341">
        <v>2</v>
      </c>
      <c r="S341">
        <v>1</v>
      </c>
      <c r="T341">
        <v>0</v>
      </c>
      <c r="U341">
        <v>0</v>
      </c>
      <c r="W341" t="str">
        <f>"17:46:23.406"</f>
        <v>17:46:23.406</v>
      </c>
      <c r="X341" t="str">
        <f>"17:46:23.106"</f>
        <v>17:46:23.106</v>
      </c>
      <c r="Y341" t="str">
        <f t="shared" si="51"/>
        <v>A7C771</v>
      </c>
      <c r="Z341">
        <v>0</v>
      </c>
      <c r="AA341">
        <v>0</v>
      </c>
      <c r="AB341">
        <v>2</v>
      </c>
      <c r="AC341">
        <v>0</v>
      </c>
      <c r="AE341">
        <v>0</v>
      </c>
      <c r="AF341">
        <v>8</v>
      </c>
      <c r="AG341">
        <v>3</v>
      </c>
      <c r="AH341">
        <v>0</v>
      </c>
      <c r="AI341">
        <v>9</v>
      </c>
      <c r="AJ341" t="s">
        <v>125</v>
      </c>
      <c r="AK341">
        <v>0</v>
      </c>
      <c r="AL341">
        <v>3</v>
      </c>
      <c r="AM341">
        <v>2</v>
      </c>
      <c r="AN341">
        <v>1</v>
      </c>
      <c r="AO341" t="s">
        <v>806</v>
      </c>
      <c r="AP341">
        <v>43.011795999999997</v>
      </c>
      <c r="AQ341" t="s">
        <v>807</v>
      </c>
      <c r="AR341">
        <v>-77.566094000000007</v>
      </c>
      <c r="AS341">
        <v>25</v>
      </c>
      <c r="AT341">
        <v>2000</v>
      </c>
      <c r="AU341" t="s">
        <v>123</v>
      </c>
      <c r="AV341">
        <v>1</v>
      </c>
      <c r="AW341">
        <v>175</v>
      </c>
      <c r="AX341">
        <v>-128</v>
      </c>
      <c r="AZ341">
        <f t="shared" si="56"/>
        <v>1</v>
      </c>
      <c r="BA341">
        <f t="shared" si="57"/>
        <v>30625</v>
      </c>
      <c r="BB341" s="1">
        <f t="shared" si="58"/>
        <v>175.0028571195339</v>
      </c>
      <c r="BJ341">
        <v>1404</v>
      </c>
      <c r="BK341">
        <v>1</v>
      </c>
      <c r="BL341" t="str">
        <f t="shared" si="52"/>
        <v xml:space="preserve">N600C   </v>
      </c>
      <c r="BM341">
        <v>2</v>
      </c>
      <c r="BO341">
        <v>0</v>
      </c>
      <c r="BP341">
        <v>0</v>
      </c>
      <c r="BQ341">
        <v>0</v>
      </c>
      <c r="BR341">
        <v>2175</v>
      </c>
      <c r="BS341">
        <v>175</v>
      </c>
      <c r="BT341" t="s">
        <v>128</v>
      </c>
      <c r="BU341">
        <v>0</v>
      </c>
      <c r="BV341">
        <v>0</v>
      </c>
      <c r="BW341">
        <v>0</v>
      </c>
      <c r="BX341">
        <v>1</v>
      </c>
      <c r="CA341">
        <v>0</v>
      </c>
      <c r="CB341">
        <v>0</v>
      </c>
      <c r="CC341">
        <v>0</v>
      </c>
      <c r="CM341" t="str">
        <f>"17:46:23.407"</f>
        <v>17:46:23.407</v>
      </c>
      <c r="CN341">
        <v>406942054</v>
      </c>
      <c r="CQ341">
        <v>0</v>
      </c>
      <c r="CR341">
        <v>2496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3</v>
      </c>
      <c r="DB341">
        <v>2</v>
      </c>
      <c r="DC341">
        <v>0</v>
      </c>
      <c r="DD341">
        <v>2</v>
      </c>
      <c r="DE341">
        <v>0</v>
      </c>
      <c r="DF341">
        <v>7</v>
      </c>
      <c r="DG341">
        <v>7</v>
      </c>
      <c r="DH341" t="s">
        <v>124</v>
      </c>
      <c r="DI341">
        <v>71</v>
      </c>
      <c r="DJ341">
        <v>1</v>
      </c>
      <c r="DK341" t="s">
        <v>134</v>
      </c>
      <c r="DL341" t="s">
        <v>135</v>
      </c>
      <c r="DO341">
        <v>11533409</v>
      </c>
      <c r="DQ341">
        <v>0</v>
      </c>
      <c r="DR341">
        <v>0</v>
      </c>
      <c r="DS341">
        <v>1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</row>
    <row r="342" spans="1:131" x14ac:dyDescent="0.35">
      <c r="A342" s="2" t="str">
        <f>"17:46:24.803"</f>
        <v>17:46:24.803</v>
      </c>
      <c r="B342" s="4">
        <f t="shared" si="59"/>
        <v>63984.803</v>
      </c>
      <c r="C342" s="4">
        <f t="shared" si="53"/>
        <v>384.80299999999988</v>
      </c>
      <c r="D342" s="3">
        <f t="shared" si="54"/>
        <v>0.74056484953703705</v>
      </c>
      <c r="E342" s="2">
        <f t="shared" si="55"/>
        <v>0.74056484953703705</v>
      </c>
      <c r="G342" t="str">
        <f t="shared" si="50"/>
        <v>FFDFD7C0</v>
      </c>
      <c r="H342" t="s">
        <v>126</v>
      </c>
      <c r="I342">
        <v>8</v>
      </c>
      <c r="J342">
        <v>1008</v>
      </c>
      <c r="K342" t="s">
        <v>129</v>
      </c>
      <c r="N342" t="s">
        <v>127</v>
      </c>
      <c r="O342">
        <v>0</v>
      </c>
      <c r="P342">
        <v>3</v>
      </c>
      <c r="Q342">
        <v>0</v>
      </c>
      <c r="R342">
        <v>2</v>
      </c>
      <c r="S342">
        <v>1</v>
      </c>
      <c r="T342">
        <v>0</v>
      </c>
      <c r="U342">
        <v>0</v>
      </c>
      <c r="W342" t="str">
        <f>"17:46:24.523"</f>
        <v>17:46:24.523</v>
      </c>
      <c r="X342" t="str">
        <f>"17:46:24.123"</f>
        <v>17:46:24.123</v>
      </c>
      <c r="Y342" t="str">
        <f t="shared" si="51"/>
        <v>A7C771</v>
      </c>
      <c r="Z342">
        <v>0</v>
      </c>
      <c r="AA342">
        <v>0</v>
      </c>
      <c r="AB342">
        <v>2</v>
      </c>
      <c r="AC342">
        <v>0</v>
      </c>
      <c r="AE342">
        <v>0</v>
      </c>
      <c r="AF342">
        <v>8</v>
      </c>
      <c r="AG342">
        <v>3</v>
      </c>
      <c r="AH342">
        <v>0</v>
      </c>
      <c r="AI342">
        <v>9</v>
      </c>
      <c r="AJ342" t="s">
        <v>125</v>
      </c>
      <c r="AK342">
        <v>0</v>
      </c>
      <c r="AL342">
        <v>3</v>
      </c>
      <c r="AM342">
        <v>2</v>
      </c>
      <c r="AN342">
        <v>1</v>
      </c>
      <c r="AO342" t="s">
        <v>808</v>
      </c>
      <c r="AP342">
        <v>43.012675999999999</v>
      </c>
      <c r="AQ342" t="s">
        <v>807</v>
      </c>
      <c r="AR342">
        <v>-77.566094000000007</v>
      </c>
      <c r="AS342">
        <v>25</v>
      </c>
      <c r="AT342">
        <v>2000</v>
      </c>
      <c r="AU342" t="s">
        <v>123</v>
      </c>
      <c r="AV342">
        <v>1</v>
      </c>
      <c r="AW342">
        <v>175</v>
      </c>
      <c r="AX342">
        <v>-192</v>
      </c>
      <c r="AZ342">
        <f t="shared" si="56"/>
        <v>1</v>
      </c>
      <c r="BA342">
        <f t="shared" si="57"/>
        <v>30625</v>
      </c>
      <c r="BB342" s="1">
        <f t="shared" si="58"/>
        <v>175.0028571195339</v>
      </c>
      <c r="BJ342">
        <v>1404</v>
      </c>
      <c r="BK342">
        <v>1</v>
      </c>
      <c r="BL342" t="str">
        <f t="shared" si="52"/>
        <v xml:space="preserve">N600C   </v>
      </c>
      <c r="BM342">
        <v>2</v>
      </c>
      <c r="BO342">
        <v>0</v>
      </c>
      <c r="BP342">
        <v>0</v>
      </c>
      <c r="BQ342">
        <v>0</v>
      </c>
      <c r="BR342">
        <v>2175</v>
      </c>
      <c r="BS342">
        <v>175</v>
      </c>
      <c r="BT342" t="s">
        <v>128</v>
      </c>
      <c r="BU342">
        <v>0</v>
      </c>
      <c r="BV342">
        <v>0</v>
      </c>
      <c r="BW342">
        <v>0</v>
      </c>
      <c r="BX342">
        <v>1</v>
      </c>
      <c r="CA342">
        <v>0</v>
      </c>
      <c r="CB342">
        <v>0</v>
      </c>
      <c r="CC342">
        <v>0</v>
      </c>
      <c r="CM342" t="str">
        <f>"17:46:24.527"</f>
        <v>17:46:24.527</v>
      </c>
      <c r="CN342">
        <v>527202760</v>
      </c>
      <c r="CQ342">
        <v>0</v>
      </c>
      <c r="CR342">
        <v>2496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3</v>
      </c>
      <c r="DB342">
        <v>2</v>
      </c>
      <c r="DC342">
        <v>0</v>
      </c>
      <c r="DD342">
        <v>2</v>
      </c>
      <c r="DE342">
        <v>0</v>
      </c>
      <c r="DF342">
        <v>7</v>
      </c>
      <c r="DG342">
        <v>7</v>
      </c>
      <c r="DH342" t="s">
        <v>124</v>
      </c>
      <c r="DI342">
        <v>407</v>
      </c>
      <c r="DJ342">
        <v>3</v>
      </c>
      <c r="DK342" t="s">
        <v>132</v>
      </c>
      <c r="DL342" t="s">
        <v>133</v>
      </c>
      <c r="DO342">
        <v>1600226</v>
      </c>
      <c r="DQ342">
        <v>0</v>
      </c>
      <c r="DR342">
        <v>0</v>
      </c>
      <c r="DS342">
        <v>1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</row>
    <row r="343" spans="1:131" x14ac:dyDescent="0.35">
      <c r="A343" s="2" t="str">
        <f>"17:46:25.991"</f>
        <v>17:46:25.991</v>
      </c>
      <c r="B343" s="4">
        <f t="shared" si="59"/>
        <v>63985.991000000002</v>
      </c>
      <c r="C343" s="4">
        <f t="shared" si="53"/>
        <v>385.9910000000018</v>
      </c>
      <c r="D343" s="3">
        <f t="shared" si="54"/>
        <v>0.74057859953703709</v>
      </c>
      <c r="E343" s="2">
        <f t="shared" si="55"/>
        <v>0.74057859953703709</v>
      </c>
      <c r="G343" t="str">
        <f t="shared" si="50"/>
        <v>FFDFD7C0</v>
      </c>
      <c r="H343" t="s">
        <v>126</v>
      </c>
      <c r="I343">
        <v>8</v>
      </c>
      <c r="J343">
        <v>1008</v>
      </c>
      <c r="K343" t="s">
        <v>129</v>
      </c>
      <c r="N343" t="s">
        <v>127</v>
      </c>
      <c r="O343">
        <v>0</v>
      </c>
      <c r="P343">
        <v>3</v>
      </c>
      <c r="Q343">
        <v>0</v>
      </c>
      <c r="R343">
        <v>2</v>
      </c>
      <c r="S343">
        <v>1</v>
      </c>
      <c r="T343">
        <v>0</v>
      </c>
      <c r="U343">
        <v>0</v>
      </c>
      <c r="W343" t="str">
        <f>"17:46:25.656"</f>
        <v>17:46:25.656</v>
      </c>
      <c r="X343" t="str">
        <f>"17:46:25.556"</f>
        <v>17:46:25.556</v>
      </c>
      <c r="Y343" t="str">
        <f t="shared" si="51"/>
        <v>A7C771</v>
      </c>
      <c r="Z343">
        <v>0</v>
      </c>
      <c r="AA343">
        <v>0</v>
      </c>
      <c r="AB343">
        <v>2</v>
      </c>
      <c r="AC343">
        <v>0</v>
      </c>
      <c r="AE343">
        <v>0</v>
      </c>
      <c r="AF343">
        <v>8</v>
      </c>
      <c r="AG343">
        <v>3</v>
      </c>
      <c r="AH343">
        <v>0</v>
      </c>
      <c r="AI343">
        <v>9</v>
      </c>
      <c r="AJ343" t="s">
        <v>125</v>
      </c>
      <c r="AK343">
        <v>0</v>
      </c>
      <c r="AL343">
        <v>3</v>
      </c>
      <c r="AM343">
        <v>2</v>
      </c>
      <c r="AN343">
        <v>1</v>
      </c>
      <c r="AO343" t="s">
        <v>809</v>
      </c>
      <c r="AP343">
        <v>43.013663000000001</v>
      </c>
      <c r="AQ343" t="s">
        <v>807</v>
      </c>
      <c r="AR343">
        <v>-77.566094000000007</v>
      </c>
      <c r="AS343">
        <v>25</v>
      </c>
      <c r="AT343">
        <v>2000</v>
      </c>
      <c r="AU343" t="s">
        <v>123</v>
      </c>
      <c r="AV343">
        <v>1</v>
      </c>
      <c r="AW343">
        <v>174</v>
      </c>
      <c r="AX343">
        <v>-128</v>
      </c>
      <c r="AZ343">
        <f t="shared" si="56"/>
        <v>1</v>
      </c>
      <c r="BA343">
        <f t="shared" si="57"/>
        <v>30276</v>
      </c>
      <c r="BB343" s="1">
        <f t="shared" si="58"/>
        <v>174.00287353949071</v>
      </c>
      <c r="BJ343">
        <v>1404</v>
      </c>
      <c r="BK343">
        <v>1</v>
      </c>
      <c r="BL343" t="str">
        <f t="shared" si="52"/>
        <v xml:space="preserve">N600C   </v>
      </c>
      <c r="BM343">
        <v>2</v>
      </c>
      <c r="BO343">
        <v>0</v>
      </c>
      <c r="BP343">
        <v>0</v>
      </c>
      <c r="BQ343">
        <v>0</v>
      </c>
      <c r="BR343">
        <v>2175</v>
      </c>
      <c r="BS343">
        <v>175</v>
      </c>
      <c r="BT343" t="s">
        <v>128</v>
      </c>
      <c r="BU343">
        <v>0</v>
      </c>
      <c r="BV343">
        <v>0</v>
      </c>
      <c r="BW343">
        <v>0</v>
      </c>
      <c r="BX343">
        <v>1</v>
      </c>
      <c r="CA343">
        <v>0</v>
      </c>
      <c r="CB343">
        <v>0</v>
      </c>
      <c r="CC343">
        <v>0</v>
      </c>
      <c r="CM343" t="str">
        <f>"17:46:25.663"</f>
        <v>17:46:25.663</v>
      </c>
      <c r="CN343">
        <v>663331973</v>
      </c>
      <c r="CQ343">
        <v>0</v>
      </c>
      <c r="CR343">
        <v>2496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3</v>
      </c>
      <c r="DB343">
        <v>2</v>
      </c>
      <c r="DC343">
        <v>0</v>
      </c>
      <c r="DD343">
        <v>2</v>
      </c>
      <c r="DE343">
        <v>0</v>
      </c>
      <c r="DF343">
        <v>7</v>
      </c>
      <c r="DG343">
        <v>7</v>
      </c>
      <c r="DH343" t="s">
        <v>124</v>
      </c>
      <c r="DI343">
        <v>71</v>
      </c>
      <c r="DJ343">
        <v>1</v>
      </c>
      <c r="DK343" t="s">
        <v>134</v>
      </c>
      <c r="DL343" t="s">
        <v>135</v>
      </c>
      <c r="DO343">
        <v>11535262</v>
      </c>
      <c r="DQ343">
        <v>0</v>
      </c>
      <c r="DR343">
        <v>0</v>
      </c>
      <c r="DS343">
        <v>1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</row>
    <row r="344" spans="1:131" x14ac:dyDescent="0.35">
      <c r="A344" s="2" t="str">
        <f>"17:46:26.991"</f>
        <v>17:46:26.991</v>
      </c>
      <c r="B344" s="4">
        <f t="shared" si="59"/>
        <v>63986.991000000002</v>
      </c>
      <c r="C344" s="4">
        <f t="shared" si="53"/>
        <v>386.9910000000018</v>
      </c>
      <c r="D344" s="3">
        <f t="shared" si="54"/>
        <v>0.74059017361111112</v>
      </c>
      <c r="E344" s="2">
        <f t="shared" si="55"/>
        <v>0.74059017361111112</v>
      </c>
      <c r="G344" t="str">
        <f t="shared" si="50"/>
        <v>FFDFD7C0</v>
      </c>
      <c r="H344" t="s">
        <v>126</v>
      </c>
      <c r="I344">
        <v>8</v>
      </c>
      <c r="J344">
        <v>1008</v>
      </c>
      <c r="K344" t="s">
        <v>129</v>
      </c>
      <c r="N344" t="s">
        <v>127</v>
      </c>
      <c r="O344">
        <v>0</v>
      </c>
      <c r="P344">
        <v>3</v>
      </c>
      <c r="Q344">
        <v>0</v>
      </c>
      <c r="R344">
        <v>2</v>
      </c>
      <c r="S344">
        <v>1</v>
      </c>
      <c r="T344">
        <v>0</v>
      </c>
      <c r="U344">
        <v>0</v>
      </c>
      <c r="W344" t="str">
        <f>"17:46:26.688"</f>
        <v>17:46:26.688</v>
      </c>
      <c r="X344" t="str">
        <f>"17:46:26.588"</f>
        <v>17:46:26.588</v>
      </c>
      <c r="Y344" t="str">
        <f t="shared" si="51"/>
        <v>A7C771</v>
      </c>
      <c r="Z344">
        <v>0</v>
      </c>
      <c r="AA344">
        <v>0</v>
      </c>
      <c r="AB344">
        <v>2</v>
      </c>
      <c r="AC344">
        <v>0</v>
      </c>
      <c r="AE344">
        <v>0</v>
      </c>
      <c r="AF344">
        <v>8</v>
      </c>
      <c r="AG344">
        <v>3</v>
      </c>
      <c r="AH344">
        <v>0</v>
      </c>
      <c r="AI344">
        <v>9</v>
      </c>
      <c r="AJ344" t="s">
        <v>125</v>
      </c>
      <c r="AK344">
        <v>0</v>
      </c>
      <c r="AL344">
        <v>3</v>
      </c>
      <c r="AM344">
        <v>2</v>
      </c>
      <c r="AN344">
        <v>1</v>
      </c>
      <c r="AO344" t="s">
        <v>810</v>
      </c>
      <c r="AP344">
        <v>43.014457</v>
      </c>
      <c r="AQ344" t="s">
        <v>807</v>
      </c>
      <c r="AR344">
        <v>-77.566094000000007</v>
      </c>
      <c r="AS344">
        <v>25</v>
      </c>
      <c r="AT344">
        <v>2000</v>
      </c>
      <c r="AU344" t="s">
        <v>123</v>
      </c>
      <c r="AV344">
        <v>1</v>
      </c>
      <c r="AW344">
        <v>174</v>
      </c>
      <c r="AX344">
        <v>-64</v>
      </c>
      <c r="AZ344">
        <f t="shared" si="56"/>
        <v>1</v>
      </c>
      <c r="BA344">
        <f t="shared" si="57"/>
        <v>30276</v>
      </c>
      <c r="BB344" s="1">
        <f t="shared" si="58"/>
        <v>174.00287353949071</v>
      </c>
      <c r="BJ344">
        <v>1404</v>
      </c>
      <c r="BK344">
        <v>1</v>
      </c>
      <c r="BL344" t="str">
        <f t="shared" si="52"/>
        <v xml:space="preserve">N600C   </v>
      </c>
      <c r="BM344">
        <v>2</v>
      </c>
      <c r="BO344">
        <v>0</v>
      </c>
      <c r="BP344">
        <v>0</v>
      </c>
      <c r="BQ344">
        <v>0</v>
      </c>
      <c r="BR344">
        <v>2175</v>
      </c>
      <c r="BS344">
        <v>175</v>
      </c>
      <c r="BT344" t="s">
        <v>128</v>
      </c>
      <c r="BU344">
        <v>0</v>
      </c>
      <c r="BV344">
        <v>0</v>
      </c>
      <c r="BW344">
        <v>0</v>
      </c>
      <c r="BX344">
        <v>1</v>
      </c>
      <c r="CA344">
        <v>0</v>
      </c>
      <c r="CB344">
        <v>0</v>
      </c>
      <c r="CC344">
        <v>0</v>
      </c>
      <c r="CM344" t="str">
        <f>"17:46:26.688"</f>
        <v>17:46:26.688</v>
      </c>
      <c r="CN344">
        <v>687519760</v>
      </c>
      <c r="CQ344">
        <v>0</v>
      </c>
      <c r="CR344">
        <v>2496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3</v>
      </c>
      <c r="DB344">
        <v>2</v>
      </c>
      <c r="DC344">
        <v>0</v>
      </c>
      <c r="DD344">
        <v>2</v>
      </c>
      <c r="DE344">
        <v>0</v>
      </c>
      <c r="DF344">
        <v>7</v>
      </c>
      <c r="DG344">
        <v>7</v>
      </c>
      <c r="DH344" t="s">
        <v>124</v>
      </c>
      <c r="DI344">
        <v>71</v>
      </c>
      <c r="DJ344">
        <v>1</v>
      </c>
      <c r="DK344" t="s">
        <v>134</v>
      </c>
      <c r="DL344" t="s">
        <v>135</v>
      </c>
      <c r="DO344">
        <v>11536305</v>
      </c>
      <c r="DQ344">
        <v>0</v>
      </c>
      <c r="DR344">
        <v>0</v>
      </c>
      <c r="DS344">
        <v>1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</row>
    <row r="345" spans="1:131" x14ac:dyDescent="0.35">
      <c r="A345" s="2" t="str">
        <f>"17:46:27.866"</f>
        <v>17:46:27.866</v>
      </c>
      <c r="B345" s="4">
        <f t="shared" si="59"/>
        <v>63987.866000000009</v>
      </c>
      <c r="C345" s="4">
        <f t="shared" si="53"/>
        <v>387.86600000000908</v>
      </c>
      <c r="D345" s="3">
        <f t="shared" si="54"/>
        <v>0.74060030092592599</v>
      </c>
      <c r="E345" s="2">
        <f t="shared" si="55"/>
        <v>0.74060030092592599</v>
      </c>
      <c r="G345" t="str">
        <f t="shared" si="50"/>
        <v>FFDFD7C0</v>
      </c>
      <c r="H345" t="s">
        <v>126</v>
      </c>
      <c r="I345">
        <v>8</v>
      </c>
      <c r="J345">
        <v>1008</v>
      </c>
      <c r="K345" t="s">
        <v>129</v>
      </c>
      <c r="N345" t="s">
        <v>127</v>
      </c>
      <c r="O345">
        <v>0</v>
      </c>
      <c r="P345">
        <v>3</v>
      </c>
      <c r="Q345">
        <v>0</v>
      </c>
      <c r="R345">
        <v>2</v>
      </c>
      <c r="S345">
        <v>1</v>
      </c>
      <c r="T345">
        <v>0</v>
      </c>
      <c r="U345">
        <v>0</v>
      </c>
      <c r="W345" t="str">
        <f>"17:46:27.641"</f>
        <v>17:46:27.641</v>
      </c>
      <c r="X345" t="str">
        <f>"17:46:27.541"</f>
        <v>17:46:27.541</v>
      </c>
      <c r="Y345" t="str">
        <f t="shared" si="51"/>
        <v>A7C771</v>
      </c>
      <c r="Z345">
        <v>0</v>
      </c>
      <c r="AA345">
        <v>0</v>
      </c>
      <c r="AB345">
        <v>2</v>
      </c>
      <c r="AC345">
        <v>0</v>
      </c>
      <c r="AE345">
        <v>0</v>
      </c>
      <c r="AF345">
        <v>8</v>
      </c>
      <c r="AG345">
        <v>3</v>
      </c>
      <c r="AH345">
        <v>0</v>
      </c>
      <c r="AI345">
        <v>9</v>
      </c>
      <c r="AJ345" t="s">
        <v>125</v>
      </c>
      <c r="AK345">
        <v>0</v>
      </c>
      <c r="AL345">
        <v>3</v>
      </c>
      <c r="AM345">
        <v>2</v>
      </c>
      <c r="AN345">
        <v>1</v>
      </c>
      <c r="AO345" t="s">
        <v>811</v>
      </c>
      <c r="AP345">
        <v>43.015250999999999</v>
      </c>
      <c r="AQ345" t="s">
        <v>807</v>
      </c>
      <c r="AR345">
        <v>-77.566094000000007</v>
      </c>
      <c r="AS345">
        <v>25</v>
      </c>
      <c r="AT345">
        <v>2000</v>
      </c>
      <c r="AU345" t="s">
        <v>123</v>
      </c>
      <c r="AV345">
        <v>1</v>
      </c>
      <c r="AW345">
        <v>174</v>
      </c>
      <c r="AX345">
        <v>-64</v>
      </c>
      <c r="AZ345">
        <f t="shared" si="56"/>
        <v>1</v>
      </c>
      <c r="BA345">
        <f t="shared" si="57"/>
        <v>30276</v>
      </c>
      <c r="BB345" s="1">
        <f t="shared" si="58"/>
        <v>174.00287353949071</v>
      </c>
      <c r="BJ345">
        <v>1404</v>
      </c>
      <c r="BK345">
        <v>1</v>
      </c>
      <c r="BL345" t="str">
        <f t="shared" si="52"/>
        <v xml:space="preserve">N600C   </v>
      </c>
      <c r="BM345">
        <v>2</v>
      </c>
      <c r="BO345">
        <v>0</v>
      </c>
      <c r="BP345">
        <v>0</v>
      </c>
      <c r="BQ345">
        <v>0</v>
      </c>
      <c r="BR345">
        <v>2175</v>
      </c>
      <c r="BS345">
        <v>175</v>
      </c>
      <c r="BT345" t="s">
        <v>128</v>
      </c>
      <c r="BU345">
        <v>0</v>
      </c>
      <c r="BV345">
        <v>0</v>
      </c>
      <c r="BW345">
        <v>0</v>
      </c>
      <c r="BX345">
        <v>1</v>
      </c>
      <c r="CA345">
        <v>0</v>
      </c>
      <c r="CB345">
        <v>0</v>
      </c>
      <c r="CC345">
        <v>0</v>
      </c>
      <c r="CM345" t="str">
        <f>"17:46:27.648"</f>
        <v>17:46:27.648</v>
      </c>
      <c r="CN345">
        <v>647701503</v>
      </c>
      <c r="CQ345">
        <v>0</v>
      </c>
      <c r="CR345">
        <v>2496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3</v>
      </c>
      <c r="DB345">
        <v>2</v>
      </c>
      <c r="DC345">
        <v>0</v>
      </c>
      <c r="DD345">
        <v>2</v>
      </c>
      <c r="DE345">
        <v>0</v>
      </c>
      <c r="DF345">
        <v>7</v>
      </c>
      <c r="DG345">
        <v>7</v>
      </c>
      <c r="DH345" t="s">
        <v>124</v>
      </c>
      <c r="DI345">
        <v>71</v>
      </c>
      <c r="DJ345">
        <v>1</v>
      </c>
      <c r="DK345" t="s">
        <v>134</v>
      </c>
      <c r="DL345" t="s">
        <v>135</v>
      </c>
      <c r="DO345">
        <v>11537136</v>
      </c>
      <c r="DQ345">
        <v>0</v>
      </c>
      <c r="DR345">
        <v>0</v>
      </c>
      <c r="DS345">
        <v>1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</row>
    <row r="346" spans="1:131" x14ac:dyDescent="0.35">
      <c r="A346" s="2" t="str">
        <f>"17:46:28.901"</f>
        <v>17:46:28.901</v>
      </c>
      <c r="B346" s="4">
        <f t="shared" si="59"/>
        <v>63988.901000000005</v>
      </c>
      <c r="C346" s="4">
        <f t="shared" si="53"/>
        <v>388.9010000000053</v>
      </c>
      <c r="D346" s="3">
        <f t="shared" si="54"/>
        <v>0.74061228009259261</v>
      </c>
      <c r="E346" s="2">
        <f t="shared" si="55"/>
        <v>0.74061228009259261</v>
      </c>
      <c r="G346" t="str">
        <f t="shared" si="50"/>
        <v>FFDFD7C0</v>
      </c>
      <c r="H346" t="s">
        <v>126</v>
      </c>
      <c r="I346">
        <v>8</v>
      </c>
      <c r="J346">
        <v>1008</v>
      </c>
      <c r="K346" t="s">
        <v>129</v>
      </c>
      <c r="N346" t="s">
        <v>127</v>
      </c>
      <c r="O346">
        <v>0</v>
      </c>
      <c r="P346">
        <v>3</v>
      </c>
      <c r="Q346">
        <v>0</v>
      </c>
      <c r="R346">
        <v>2</v>
      </c>
      <c r="S346">
        <v>1</v>
      </c>
      <c r="T346">
        <v>0</v>
      </c>
      <c r="U346">
        <v>0</v>
      </c>
      <c r="W346" t="str">
        <f>"17:46:28.609"</f>
        <v>17:46:28.609</v>
      </c>
      <c r="X346" t="str">
        <f>"17:46:28.409"</f>
        <v>17:46:28.409</v>
      </c>
      <c r="Y346" t="str">
        <f t="shared" si="51"/>
        <v>A7C771</v>
      </c>
      <c r="Z346">
        <v>0</v>
      </c>
      <c r="AA346">
        <v>0</v>
      </c>
      <c r="AB346">
        <v>2</v>
      </c>
      <c r="AC346">
        <v>0</v>
      </c>
      <c r="AE346">
        <v>0</v>
      </c>
      <c r="AF346">
        <v>8</v>
      </c>
      <c r="AG346">
        <v>3</v>
      </c>
      <c r="AH346">
        <v>0</v>
      </c>
      <c r="AI346">
        <v>9</v>
      </c>
      <c r="AJ346" t="s">
        <v>125</v>
      </c>
      <c r="AK346">
        <v>0</v>
      </c>
      <c r="AL346">
        <v>3</v>
      </c>
      <c r="AM346">
        <v>2</v>
      </c>
      <c r="AN346">
        <v>1</v>
      </c>
      <c r="AO346" t="s">
        <v>812</v>
      </c>
      <c r="AP346">
        <v>43.016002</v>
      </c>
      <c r="AQ346" t="s">
        <v>807</v>
      </c>
      <c r="AR346">
        <v>-77.566094000000007</v>
      </c>
      <c r="AS346">
        <v>25</v>
      </c>
      <c r="AT346">
        <v>2000</v>
      </c>
      <c r="AU346" t="s">
        <v>123</v>
      </c>
      <c r="AV346">
        <v>0</v>
      </c>
      <c r="AW346">
        <v>174</v>
      </c>
      <c r="AX346">
        <v>-64</v>
      </c>
      <c r="AZ346">
        <f t="shared" si="56"/>
        <v>0</v>
      </c>
      <c r="BA346">
        <f t="shared" si="57"/>
        <v>30276</v>
      </c>
      <c r="BB346" s="1">
        <f t="shared" si="58"/>
        <v>174</v>
      </c>
      <c r="BJ346">
        <v>1404</v>
      </c>
      <c r="BK346">
        <v>1</v>
      </c>
      <c r="BL346" t="str">
        <f t="shared" si="52"/>
        <v xml:space="preserve">N600C   </v>
      </c>
      <c r="BM346">
        <v>2</v>
      </c>
      <c r="BO346">
        <v>0</v>
      </c>
      <c r="BP346">
        <v>0</v>
      </c>
      <c r="BQ346">
        <v>0</v>
      </c>
      <c r="BR346">
        <v>2175</v>
      </c>
      <c r="BS346">
        <v>175</v>
      </c>
      <c r="BT346" t="s">
        <v>128</v>
      </c>
      <c r="BU346">
        <v>0</v>
      </c>
      <c r="BV346">
        <v>0</v>
      </c>
      <c r="BW346">
        <v>0</v>
      </c>
      <c r="BX346">
        <v>1</v>
      </c>
      <c r="CA346">
        <v>0</v>
      </c>
      <c r="CB346">
        <v>0</v>
      </c>
      <c r="CC346">
        <v>0</v>
      </c>
      <c r="CM346" t="str">
        <f>"17:46:28.616"</f>
        <v>17:46:28.616</v>
      </c>
      <c r="CN346">
        <v>615884826</v>
      </c>
      <c r="CQ346">
        <v>0</v>
      </c>
      <c r="CR346">
        <v>2496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3</v>
      </c>
      <c r="DB346">
        <v>2</v>
      </c>
      <c r="DC346">
        <v>0</v>
      </c>
      <c r="DD346">
        <v>2</v>
      </c>
      <c r="DE346">
        <v>0</v>
      </c>
      <c r="DF346">
        <v>7</v>
      </c>
      <c r="DG346">
        <v>7</v>
      </c>
      <c r="DH346" t="s">
        <v>124</v>
      </c>
      <c r="DI346">
        <v>71</v>
      </c>
      <c r="DJ346">
        <v>1</v>
      </c>
      <c r="DK346" t="s">
        <v>134</v>
      </c>
      <c r="DL346" t="s">
        <v>135</v>
      </c>
      <c r="DO346">
        <v>11537905</v>
      </c>
      <c r="DQ346">
        <v>0</v>
      </c>
      <c r="DR346">
        <v>0</v>
      </c>
      <c r="DS346">
        <v>1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</row>
    <row r="347" spans="1:131" x14ac:dyDescent="0.35">
      <c r="A347" s="2" t="str">
        <f>"17:46:29.834"</f>
        <v>17:46:29.834</v>
      </c>
      <c r="B347" s="4">
        <f t="shared" si="59"/>
        <v>63989.834000000003</v>
      </c>
      <c r="C347" s="4">
        <f t="shared" si="53"/>
        <v>389.83400000000256</v>
      </c>
      <c r="D347" s="3">
        <f t="shared" si="54"/>
        <v>0.7406230787037037</v>
      </c>
      <c r="E347" s="2">
        <f t="shared" si="55"/>
        <v>0.7406230787037037</v>
      </c>
      <c r="G347" t="str">
        <f t="shared" si="50"/>
        <v>FFDFD7C0</v>
      </c>
      <c r="H347" t="s">
        <v>126</v>
      </c>
      <c r="I347">
        <v>8</v>
      </c>
      <c r="J347">
        <v>1008</v>
      </c>
      <c r="K347" t="s">
        <v>129</v>
      </c>
      <c r="N347" t="s">
        <v>127</v>
      </c>
      <c r="O347">
        <v>0</v>
      </c>
      <c r="P347">
        <v>3</v>
      </c>
      <c r="Q347">
        <v>0</v>
      </c>
      <c r="R347">
        <v>2</v>
      </c>
      <c r="S347">
        <v>1</v>
      </c>
      <c r="T347">
        <v>0</v>
      </c>
      <c r="U347">
        <v>0</v>
      </c>
      <c r="W347" t="str">
        <f>"17:46:29.578"</f>
        <v>17:46:29.578</v>
      </c>
      <c r="X347" t="str">
        <f>"17:46:29.478"</f>
        <v>17:46:29.478</v>
      </c>
      <c r="Y347" t="str">
        <f t="shared" si="51"/>
        <v>A7C771</v>
      </c>
      <c r="Z347">
        <v>0</v>
      </c>
      <c r="AA347">
        <v>0</v>
      </c>
      <c r="AB347">
        <v>2</v>
      </c>
      <c r="AC347">
        <v>0</v>
      </c>
      <c r="AE347">
        <v>0</v>
      </c>
      <c r="AF347">
        <v>8</v>
      </c>
      <c r="AG347">
        <v>3</v>
      </c>
      <c r="AH347">
        <v>0</v>
      </c>
      <c r="AI347">
        <v>9</v>
      </c>
      <c r="AJ347" t="s">
        <v>125</v>
      </c>
      <c r="AK347">
        <v>0</v>
      </c>
      <c r="AL347">
        <v>3</v>
      </c>
      <c r="AM347">
        <v>2</v>
      </c>
      <c r="AN347">
        <v>1</v>
      </c>
      <c r="AO347" t="s">
        <v>813</v>
      </c>
      <c r="AP347">
        <v>43.016775000000003</v>
      </c>
      <c r="AQ347" t="s">
        <v>807</v>
      </c>
      <c r="AR347">
        <v>-77.566094000000007</v>
      </c>
      <c r="AS347">
        <v>25</v>
      </c>
      <c r="AT347">
        <v>2000</v>
      </c>
      <c r="AU347" t="s">
        <v>123</v>
      </c>
      <c r="AV347">
        <v>0</v>
      </c>
      <c r="AW347">
        <v>174</v>
      </c>
      <c r="AX347">
        <v>-128</v>
      </c>
      <c r="AZ347">
        <f t="shared" si="56"/>
        <v>0</v>
      </c>
      <c r="BA347">
        <f t="shared" si="57"/>
        <v>30276</v>
      </c>
      <c r="BB347" s="1">
        <f t="shared" si="58"/>
        <v>174</v>
      </c>
      <c r="BJ347">
        <v>1404</v>
      </c>
      <c r="BK347">
        <v>1</v>
      </c>
      <c r="BL347" t="str">
        <f t="shared" si="52"/>
        <v xml:space="preserve">N600C   </v>
      </c>
      <c r="BM347">
        <v>2</v>
      </c>
      <c r="BO347">
        <v>0</v>
      </c>
      <c r="BP347">
        <v>0</v>
      </c>
      <c r="BQ347">
        <v>0</v>
      </c>
      <c r="BR347">
        <v>2175</v>
      </c>
      <c r="BS347">
        <v>175</v>
      </c>
      <c r="BT347" t="s">
        <v>128</v>
      </c>
      <c r="BU347">
        <v>0</v>
      </c>
      <c r="BV347">
        <v>0</v>
      </c>
      <c r="BW347">
        <v>0</v>
      </c>
      <c r="BX347">
        <v>1</v>
      </c>
      <c r="CA347">
        <v>0</v>
      </c>
      <c r="CB347">
        <v>0</v>
      </c>
      <c r="CC347">
        <v>0</v>
      </c>
      <c r="CM347" t="str">
        <f>"17:46:29.584"</f>
        <v>17:46:29.584</v>
      </c>
      <c r="CN347">
        <v>584066081</v>
      </c>
      <c r="CQ347">
        <v>0</v>
      </c>
      <c r="CR347">
        <v>2496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3</v>
      </c>
      <c r="DB347">
        <v>2</v>
      </c>
      <c r="DC347">
        <v>0</v>
      </c>
      <c r="DD347">
        <v>2</v>
      </c>
      <c r="DE347">
        <v>0</v>
      </c>
      <c r="DF347">
        <v>7</v>
      </c>
      <c r="DG347">
        <v>7</v>
      </c>
      <c r="DH347" t="s">
        <v>124</v>
      </c>
      <c r="DI347">
        <v>71</v>
      </c>
      <c r="DJ347">
        <v>0</v>
      </c>
      <c r="DK347" t="s">
        <v>134</v>
      </c>
      <c r="DL347" t="s">
        <v>135</v>
      </c>
      <c r="DO347">
        <v>10185304</v>
      </c>
      <c r="DQ347">
        <v>0</v>
      </c>
      <c r="DR347">
        <v>0</v>
      </c>
      <c r="DS347">
        <v>1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</row>
    <row r="348" spans="1:131" x14ac:dyDescent="0.35">
      <c r="A348" s="2" t="str">
        <f>"17:46:30.741"</f>
        <v>17:46:30.741</v>
      </c>
      <c r="B348" s="4">
        <f t="shared" si="59"/>
        <v>63990.741000000002</v>
      </c>
      <c r="C348" s="4">
        <f t="shared" si="53"/>
        <v>390.7410000000018</v>
      </c>
      <c r="D348" s="3">
        <f t="shared" si="54"/>
        <v>0.74063357638888894</v>
      </c>
      <c r="E348" s="2">
        <f t="shared" si="55"/>
        <v>0.74063357638888894</v>
      </c>
      <c r="G348" t="str">
        <f t="shared" si="50"/>
        <v>FFDFD7C0</v>
      </c>
      <c r="H348" t="s">
        <v>126</v>
      </c>
      <c r="I348">
        <v>8</v>
      </c>
      <c r="J348">
        <v>1008</v>
      </c>
      <c r="K348" t="s">
        <v>129</v>
      </c>
      <c r="N348" t="s">
        <v>127</v>
      </c>
      <c r="O348">
        <v>0</v>
      </c>
      <c r="P348">
        <v>3</v>
      </c>
      <c r="Q348">
        <v>0</v>
      </c>
      <c r="R348">
        <v>2</v>
      </c>
      <c r="S348">
        <v>1</v>
      </c>
      <c r="T348">
        <v>0</v>
      </c>
      <c r="U348">
        <v>0</v>
      </c>
      <c r="W348" t="str">
        <f>"17:46:30.484"</f>
        <v>17:46:30.484</v>
      </c>
      <c r="X348" t="str">
        <f>"17:46:30.484"</f>
        <v>17:46:30.484</v>
      </c>
      <c r="Y348" t="str">
        <f t="shared" si="51"/>
        <v>A7C771</v>
      </c>
      <c r="Z348">
        <v>0</v>
      </c>
      <c r="AA348">
        <v>0</v>
      </c>
      <c r="AB348">
        <v>2</v>
      </c>
      <c r="AC348">
        <v>0</v>
      </c>
      <c r="AE348">
        <v>0</v>
      </c>
      <c r="AF348">
        <v>8</v>
      </c>
      <c r="AG348">
        <v>3</v>
      </c>
      <c r="AH348">
        <v>0</v>
      </c>
      <c r="AI348">
        <v>9</v>
      </c>
      <c r="AJ348" t="s">
        <v>125</v>
      </c>
      <c r="AK348">
        <v>0</v>
      </c>
      <c r="AL348">
        <v>3</v>
      </c>
      <c r="AM348">
        <v>2</v>
      </c>
      <c r="AN348">
        <v>1</v>
      </c>
      <c r="AO348" t="s">
        <v>814</v>
      </c>
      <c r="AP348">
        <v>43.017525999999997</v>
      </c>
      <c r="AQ348" t="s">
        <v>807</v>
      </c>
      <c r="AR348">
        <v>-77.566094000000007</v>
      </c>
      <c r="AS348">
        <v>25</v>
      </c>
      <c r="AT348">
        <v>2000</v>
      </c>
      <c r="AU348" t="s">
        <v>123</v>
      </c>
      <c r="AV348">
        <v>0</v>
      </c>
      <c r="AW348">
        <v>173</v>
      </c>
      <c r="AX348">
        <v>-192</v>
      </c>
      <c r="AZ348">
        <f t="shared" si="56"/>
        <v>0</v>
      </c>
      <c r="BA348">
        <f t="shared" si="57"/>
        <v>29929</v>
      </c>
      <c r="BB348" s="1">
        <f t="shared" si="58"/>
        <v>173</v>
      </c>
      <c r="BJ348">
        <v>1404</v>
      </c>
      <c r="BK348">
        <v>1</v>
      </c>
      <c r="BL348" t="str">
        <f t="shared" si="52"/>
        <v xml:space="preserve">N600C   </v>
      </c>
      <c r="BM348">
        <v>2</v>
      </c>
      <c r="BO348">
        <v>0</v>
      </c>
      <c r="BP348">
        <v>0</v>
      </c>
      <c r="BQ348">
        <v>0</v>
      </c>
      <c r="BR348">
        <v>2175</v>
      </c>
      <c r="BS348">
        <v>175</v>
      </c>
      <c r="BT348" t="s">
        <v>128</v>
      </c>
      <c r="BU348">
        <v>0</v>
      </c>
      <c r="BV348">
        <v>0</v>
      </c>
      <c r="BW348">
        <v>0</v>
      </c>
      <c r="BX348">
        <v>1</v>
      </c>
      <c r="CA348">
        <v>0</v>
      </c>
      <c r="CB348">
        <v>0</v>
      </c>
      <c r="CC348">
        <v>0</v>
      </c>
      <c r="CM348" t="str">
        <f>"17:46:30.488"</f>
        <v>17:46:30.488</v>
      </c>
      <c r="CN348">
        <v>488233426</v>
      </c>
      <c r="CQ348">
        <v>0</v>
      </c>
      <c r="CR348">
        <v>2496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3</v>
      </c>
      <c r="DB348">
        <v>2</v>
      </c>
      <c r="DC348">
        <v>0</v>
      </c>
      <c r="DD348">
        <v>2</v>
      </c>
      <c r="DE348">
        <v>0</v>
      </c>
      <c r="DF348">
        <v>7</v>
      </c>
      <c r="DG348">
        <v>7</v>
      </c>
      <c r="DH348" t="s">
        <v>124</v>
      </c>
      <c r="DI348">
        <v>71</v>
      </c>
      <c r="DJ348">
        <v>0</v>
      </c>
      <c r="DK348" t="s">
        <v>134</v>
      </c>
      <c r="DL348" t="s">
        <v>135</v>
      </c>
      <c r="DO348">
        <v>10185912</v>
      </c>
      <c r="DQ348">
        <v>0</v>
      </c>
      <c r="DR348">
        <v>0</v>
      </c>
      <c r="DS348">
        <v>1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</row>
    <row r="349" spans="1:131" x14ac:dyDescent="0.35">
      <c r="A349" s="2" t="str">
        <f>"17:46:31.803"</f>
        <v>17:46:31.803</v>
      </c>
      <c r="B349" s="4">
        <f t="shared" si="59"/>
        <v>63991.803</v>
      </c>
      <c r="C349" s="4">
        <f t="shared" si="53"/>
        <v>391.80299999999988</v>
      </c>
      <c r="D349" s="3">
        <f t="shared" si="54"/>
        <v>0.74064586805555555</v>
      </c>
      <c r="E349" s="2">
        <f t="shared" si="55"/>
        <v>0.74064586805555555</v>
      </c>
      <c r="G349" t="str">
        <f t="shared" si="50"/>
        <v>FFDFD7C0</v>
      </c>
      <c r="H349" t="s">
        <v>126</v>
      </c>
      <c r="I349">
        <v>8</v>
      </c>
      <c r="J349">
        <v>1008</v>
      </c>
      <c r="K349" t="s">
        <v>129</v>
      </c>
      <c r="N349" t="s">
        <v>127</v>
      </c>
      <c r="O349">
        <v>0</v>
      </c>
      <c r="P349">
        <v>3</v>
      </c>
      <c r="Q349">
        <v>0</v>
      </c>
      <c r="R349">
        <v>2</v>
      </c>
      <c r="S349">
        <v>1</v>
      </c>
      <c r="T349">
        <v>0</v>
      </c>
      <c r="U349">
        <v>0</v>
      </c>
      <c r="W349" t="str">
        <f>"17:46:31.594"</f>
        <v>17:46:31.594</v>
      </c>
      <c r="X349" t="str">
        <f>"17:46:31.594"</f>
        <v>17:46:31.594</v>
      </c>
      <c r="Y349" t="str">
        <f t="shared" si="51"/>
        <v>A7C771</v>
      </c>
      <c r="Z349">
        <v>0</v>
      </c>
      <c r="AA349">
        <v>0</v>
      </c>
      <c r="AB349">
        <v>2</v>
      </c>
      <c r="AC349">
        <v>0</v>
      </c>
      <c r="AE349">
        <v>0</v>
      </c>
      <c r="AF349">
        <v>8</v>
      </c>
      <c r="AG349">
        <v>3</v>
      </c>
      <c r="AH349">
        <v>0</v>
      </c>
      <c r="AI349">
        <v>9</v>
      </c>
      <c r="AJ349" t="s">
        <v>125</v>
      </c>
      <c r="AK349">
        <v>0</v>
      </c>
      <c r="AL349">
        <v>3</v>
      </c>
      <c r="AM349">
        <v>2</v>
      </c>
      <c r="AN349">
        <v>1</v>
      </c>
      <c r="AO349" t="s">
        <v>815</v>
      </c>
      <c r="AP349">
        <v>43.018383999999998</v>
      </c>
      <c r="AQ349" t="s">
        <v>807</v>
      </c>
      <c r="AR349">
        <v>-77.566094000000007</v>
      </c>
      <c r="AS349">
        <v>25</v>
      </c>
      <c r="AT349">
        <v>2000</v>
      </c>
      <c r="AU349" t="s">
        <v>123</v>
      </c>
      <c r="AV349">
        <v>0</v>
      </c>
      <c r="AW349">
        <v>173</v>
      </c>
      <c r="AX349">
        <v>-256</v>
      </c>
      <c r="AZ349">
        <f t="shared" si="56"/>
        <v>0</v>
      </c>
      <c r="BA349">
        <f t="shared" si="57"/>
        <v>29929</v>
      </c>
      <c r="BB349" s="1">
        <f t="shared" si="58"/>
        <v>173</v>
      </c>
      <c r="BJ349">
        <v>1404</v>
      </c>
      <c r="BK349">
        <v>1</v>
      </c>
      <c r="BL349" t="str">
        <f t="shared" si="52"/>
        <v xml:space="preserve">N600C   </v>
      </c>
      <c r="BM349">
        <v>2</v>
      </c>
      <c r="BO349">
        <v>0</v>
      </c>
      <c r="BP349">
        <v>0</v>
      </c>
      <c r="BQ349">
        <v>0</v>
      </c>
      <c r="BR349">
        <v>2175</v>
      </c>
      <c r="BS349">
        <v>175</v>
      </c>
      <c r="BT349" t="s">
        <v>128</v>
      </c>
      <c r="BU349">
        <v>0</v>
      </c>
      <c r="BV349">
        <v>0</v>
      </c>
      <c r="BW349">
        <v>0</v>
      </c>
      <c r="BX349">
        <v>1</v>
      </c>
      <c r="CA349">
        <v>0</v>
      </c>
      <c r="CB349">
        <v>0</v>
      </c>
      <c r="CC349">
        <v>0</v>
      </c>
      <c r="CM349" t="str">
        <f>"17:46:31.600"</f>
        <v>17:46:31.600</v>
      </c>
      <c r="CN349">
        <v>600436570</v>
      </c>
      <c r="CQ349">
        <v>0</v>
      </c>
      <c r="CR349">
        <v>2496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3</v>
      </c>
      <c r="DB349">
        <v>2</v>
      </c>
      <c r="DC349">
        <v>0</v>
      </c>
      <c r="DD349">
        <v>2</v>
      </c>
      <c r="DE349">
        <v>0</v>
      </c>
      <c r="DF349">
        <v>7</v>
      </c>
      <c r="DG349">
        <v>7</v>
      </c>
      <c r="DH349" t="s">
        <v>124</v>
      </c>
      <c r="DI349">
        <v>407</v>
      </c>
      <c r="DJ349">
        <v>3</v>
      </c>
      <c r="DK349" t="s">
        <v>132</v>
      </c>
      <c r="DL349" t="s">
        <v>133</v>
      </c>
      <c r="DO349">
        <v>1607375</v>
      </c>
      <c r="DQ349">
        <v>0</v>
      </c>
      <c r="DR349">
        <v>0</v>
      </c>
      <c r="DS349">
        <v>1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</row>
    <row r="350" spans="1:131" x14ac:dyDescent="0.35">
      <c r="A350" s="2" t="str">
        <f>"17:46:33.038"</f>
        <v>17:46:33.038</v>
      </c>
      <c r="B350" s="4">
        <f t="shared" si="59"/>
        <v>63993.037999999993</v>
      </c>
      <c r="C350" s="4">
        <f t="shared" si="53"/>
        <v>393.03799999999319</v>
      </c>
      <c r="D350" s="3">
        <f t="shared" si="54"/>
        <v>0.740660162037037</v>
      </c>
      <c r="E350" s="2">
        <f t="shared" si="55"/>
        <v>0.740660162037037</v>
      </c>
      <c r="G350" t="str">
        <f t="shared" si="50"/>
        <v>FFDFD7C0</v>
      </c>
      <c r="H350" t="s">
        <v>126</v>
      </c>
      <c r="I350">
        <v>8</v>
      </c>
      <c r="J350">
        <v>1008</v>
      </c>
      <c r="K350" t="s">
        <v>129</v>
      </c>
      <c r="N350" t="s">
        <v>127</v>
      </c>
      <c r="O350">
        <v>0</v>
      </c>
      <c r="P350">
        <v>3</v>
      </c>
      <c r="Q350">
        <v>0</v>
      </c>
      <c r="R350">
        <v>2</v>
      </c>
      <c r="S350">
        <v>1</v>
      </c>
      <c r="T350">
        <v>0</v>
      </c>
      <c r="U350">
        <v>0</v>
      </c>
      <c r="W350" t="str">
        <f>"17:46:32.617"</f>
        <v>17:46:32.617</v>
      </c>
      <c r="X350" t="str">
        <f>"17:46:32.217"</f>
        <v>17:46:32.217</v>
      </c>
      <c r="Y350" t="str">
        <f t="shared" si="51"/>
        <v>A7C771</v>
      </c>
      <c r="Z350">
        <v>0</v>
      </c>
      <c r="AA350">
        <v>0</v>
      </c>
      <c r="AB350">
        <v>2</v>
      </c>
      <c r="AC350">
        <v>0</v>
      </c>
      <c r="AE350">
        <v>0</v>
      </c>
      <c r="AF350">
        <v>8</v>
      </c>
      <c r="AG350">
        <v>3</v>
      </c>
      <c r="AH350">
        <v>0</v>
      </c>
      <c r="AI350">
        <v>9</v>
      </c>
      <c r="AJ350" t="s">
        <v>125</v>
      </c>
      <c r="AK350">
        <v>0</v>
      </c>
      <c r="AL350">
        <v>3</v>
      </c>
      <c r="AM350">
        <v>2</v>
      </c>
      <c r="AN350">
        <v>1</v>
      </c>
      <c r="AO350" t="s">
        <v>816</v>
      </c>
      <c r="AP350">
        <v>43.019221000000002</v>
      </c>
      <c r="AQ350" t="s">
        <v>807</v>
      </c>
      <c r="AR350">
        <v>-77.566094000000007</v>
      </c>
      <c r="AS350">
        <v>25</v>
      </c>
      <c r="AT350">
        <v>1975</v>
      </c>
      <c r="AU350" t="s">
        <v>123</v>
      </c>
      <c r="AV350">
        <v>0</v>
      </c>
      <c r="AW350">
        <v>173</v>
      </c>
      <c r="AX350">
        <v>-192</v>
      </c>
      <c r="AZ350">
        <f t="shared" si="56"/>
        <v>0</v>
      </c>
      <c r="BA350">
        <f t="shared" si="57"/>
        <v>29929</v>
      </c>
      <c r="BB350" s="1">
        <f t="shared" si="58"/>
        <v>173</v>
      </c>
      <c r="BJ350">
        <v>1404</v>
      </c>
      <c r="BK350">
        <v>1</v>
      </c>
      <c r="BL350" t="str">
        <f t="shared" si="52"/>
        <v xml:space="preserve">N600C   </v>
      </c>
      <c r="BM350">
        <v>2</v>
      </c>
      <c r="BO350">
        <v>0</v>
      </c>
      <c r="BP350">
        <v>0</v>
      </c>
      <c r="BQ350">
        <v>0</v>
      </c>
      <c r="BR350">
        <v>2175</v>
      </c>
      <c r="BS350">
        <v>200</v>
      </c>
      <c r="BT350" t="s">
        <v>128</v>
      </c>
      <c r="BU350">
        <v>0</v>
      </c>
      <c r="BV350">
        <v>0</v>
      </c>
      <c r="BW350">
        <v>0</v>
      </c>
      <c r="BX350">
        <v>1</v>
      </c>
      <c r="CA350">
        <v>0</v>
      </c>
      <c r="CB350">
        <v>0</v>
      </c>
      <c r="CC350">
        <v>0</v>
      </c>
      <c r="CM350" t="str">
        <f>"17:46:32.625"</f>
        <v>17:46:32.625</v>
      </c>
      <c r="CN350">
        <v>624621145</v>
      </c>
      <c r="CQ350">
        <v>0</v>
      </c>
      <c r="CR350">
        <v>2496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3</v>
      </c>
      <c r="DB350">
        <v>2</v>
      </c>
      <c r="DC350">
        <v>0</v>
      </c>
      <c r="DD350">
        <v>2</v>
      </c>
      <c r="DE350">
        <v>0</v>
      </c>
      <c r="DF350">
        <v>7</v>
      </c>
      <c r="DG350">
        <v>7</v>
      </c>
      <c r="DH350" t="s">
        <v>124</v>
      </c>
      <c r="DI350">
        <v>71</v>
      </c>
      <c r="DJ350">
        <v>1</v>
      </c>
      <c r="DK350" t="s">
        <v>134</v>
      </c>
      <c r="DL350" t="s">
        <v>135</v>
      </c>
      <c r="DO350">
        <v>11541312</v>
      </c>
      <c r="DQ350">
        <v>0</v>
      </c>
      <c r="DR350">
        <v>0</v>
      </c>
      <c r="DS350">
        <v>1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</row>
    <row r="351" spans="1:131" x14ac:dyDescent="0.35">
      <c r="A351" s="2" t="str">
        <f>"17:46:33.711"</f>
        <v>17:46:33.711</v>
      </c>
      <c r="B351" s="4">
        <f t="shared" si="59"/>
        <v>63993.71100000001</v>
      </c>
      <c r="C351" s="4">
        <f t="shared" si="53"/>
        <v>393.71100000001024</v>
      </c>
      <c r="D351" s="3">
        <f t="shared" si="54"/>
        <v>0.74066795138888897</v>
      </c>
      <c r="E351" s="2">
        <f t="shared" si="55"/>
        <v>0.74066795138888897</v>
      </c>
      <c r="G351" t="str">
        <f t="shared" si="50"/>
        <v>FFDFD7C0</v>
      </c>
      <c r="H351" t="s">
        <v>126</v>
      </c>
      <c r="I351">
        <v>8</v>
      </c>
      <c r="J351">
        <v>1008</v>
      </c>
      <c r="K351" t="s">
        <v>129</v>
      </c>
      <c r="N351" t="s">
        <v>127</v>
      </c>
      <c r="O351">
        <v>0</v>
      </c>
      <c r="P351">
        <v>3</v>
      </c>
      <c r="Q351">
        <v>0</v>
      </c>
      <c r="R351">
        <v>2</v>
      </c>
      <c r="S351">
        <v>1</v>
      </c>
      <c r="T351">
        <v>0</v>
      </c>
      <c r="U351">
        <v>0</v>
      </c>
      <c r="W351" t="str">
        <f>"17:46:33.469"</f>
        <v>17:46:33.469</v>
      </c>
      <c r="X351" t="str">
        <f>"17:46:33.169"</f>
        <v>17:46:33.169</v>
      </c>
      <c r="Y351" t="str">
        <f t="shared" si="51"/>
        <v>A7C771</v>
      </c>
      <c r="Z351">
        <v>0</v>
      </c>
      <c r="AA351">
        <v>0</v>
      </c>
      <c r="AB351">
        <v>2</v>
      </c>
      <c r="AC351">
        <v>0</v>
      </c>
      <c r="AE351">
        <v>0</v>
      </c>
      <c r="AF351">
        <v>8</v>
      </c>
      <c r="AG351">
        <v>3</v>
      </c>
      <c r="AH351">
        <v>0</v>
      </c>
      <c r="AI351">
        <v>9</v>
      </c>
      <c r="AJ351" t="s">
        <v>125</v>
      </c>
      <c r="AK351">
        <v>0</v>
      </c>
      <c r="AL351">
        <v>3</v>
      </c>
      <c r="AM351">
        <v>2</v>
      </c>
      <c r="AN351">
        <v>1</v>
      </c>
      <c r="AO351" t="s">
        <v>817</v>
      </c>
      <c r="AP351">
        <v>43.019907000000003</v>
      </c>
      <c r="AQ351" t="s">
        <v>807</v>
      </c>
      <c r="AR351">
        <v>-77.566094000000007</v>
      </c>
      <c r="AS351">
        <v>25</v>
      </c>
      <c r="AT351">
        <v>1975</v>
      </c>
      <c r="AU351" t="s">
        <v>123</v>
      </c>
      <c r="AV351">
        <v>0</v>
      </c>
      <c r="AW351">
        <v>173</v>
      </c>
      <c r="AX351">
        <v>-384</v>
      </c>
      <c r="AZ351">
        <f t="shared" si="56"/>
        <v>0</v>
      </c>
      <c r="BA351">
        <f t="shared" si="57"/>
        <v>29929</v>
      </c>
      <c r="BB351" s="1">
        <f t="shared" si="58"/>
        <v>173</v>
      </c>
      <c r="BJ351">
        <v>1404</v>
      </c>
      <c r="BK351">
        <v>1</v>
      </c>
      <c r="BL351" t="str">
        <f t="shared" si="52"/>
        <v xml:space="preserve">N600C   </v>
      </c>
      <c r="BM351">
        <v>2</v>
      </c>
      <c r="BO351">
        <v>0</v>
      </c>
      <c r="BP351">
        <v>0</v>
      </c>
      <c r="BQ351">
        <v>0</v>
      </c>
      <c r="BR351">
        <v>2150</v>
      </c>
      <c r="BS351">
        <v>175</v>
      </c>
      <c r="BT351" t="s">
        <v>128</v>
      </c>
      <c r="BU351">
        <v>0</v>
      </c>
      <c r="BV351">
        <v>0</v>
      </c>
      <c r="BW351">
        <v>0</v>
      </c>
      <c r="BX351">
        <v>1</v>
      </c>
      <c r="CA351">
        <v>0</v>
      </c>
      <c r="CB351">
        <v>0</v>
      </c>
      <c r="CC351">
        <v>0</v>
      </c>
      <c r="CM351" t="str">
        <f>"17:46:33.473"</f>
        <v>17:46:33.473</v>
      </c>
      <c r="CN351">
        <v>472772422</v>
      </c>
      <c r="CQ351">
        <v>0</v>
      </c>
      <c r="CR351">
        <v>2496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3</v>
      </c>
      <c r="DB351">
        <v>2</v>
      </c>
      <c r="DC351">
        <v>0</v>
      </c>
      <c r="DD351">
        <v>2</v>
      </c>
      <c r="DE351">
        <v>0</v>
      </c>
      <c r="DF351">
        <v>7</v>
      </c>
      <c r="DG351">
        <v>7</v>
      </c>
      <c r="DH351" t="s">
        <v>124</v>
      </c>
      <c r="DI351">
        <v>407</v>
      </c>
      <c r="DJ351">
        <v>3</v>
      </c>
      <c r="DK351" t="s">
        <v>132</v>
      </c>
      <c r="DL351" t="s">
        <v>133</v>
      </c>
      <c r="DO351">
        <v>1609211</v>
      </c>
      <c r="DQ351">
        <v>0</v>
      </c>
      <c r="DR351">
        <v>0</v>
      </c>
      <c r="DS351">
        <v>1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</row>
    <row r="352" spans="1:131" x14ac:dyDescent="0.35">
      <c r="A352" s="2" t="str">
        <f>"17:46:34.771"</f>
        <v>17:46:34.771</v>
      </c>
      <c r="B352" s="4">
        <f t="shared" si="59"/>
        <v>63994.771000000001</v>
      </c>
      <c r="C352" s="4">
        <f t="shared" si="53"/>
        <v>394.77100000000064</v>
      </c>
      <c r="D352" s="3">
        <f t="shared" si="54"/>
        <v>0.7406802199074074</v>
      </c>
      <c r="E352" s="2">
        <f t="shared" si="55"/>
        <v>0.7406802199074074</v>
      </c>
      <c r="G352" t="str">
        <f t="shared" si="50"/>
        <v>FFDFD7C0</v>
      </c>
      <c r="H352" t="s">
        <v>126</v>
      </c>
      <c r="I352">
        <v>8</v>
      </c>
      <c r="J352">
        <v>1008</v>
      </c>
      <c r="K352" t="s">
        <v>129</v>
      </c>
      <c r="N352" t="s">
        <v>127</v>
      </c>
      <c r="O352">
        <v>0</v>
      </c>
      <c r="P352">
        <v>3</v>
      </c>
      <c r="Q352">
        <v>0</v>
      </c>
      <c r="R352">
        <v>2</v>
      </c>
      <c r="S352">
        <v>1</v>
      </c>
      <c r="T352">
        <v>0</v>
      </c>
      <c r="U352">
        <v>0</v>
      </c>
      <c r="W352" t="str">
        <f>"17:46:34.414"</f>
        <v>17:46:34.414</v>
      </c>
      <c r="X352" t="str">
        <f>"17:46:34.114"</f>
        <v>17:46:34.114</v>
      </c>
      <c r="Y352" t="str">
        <f t="shared" si="51"/>
        <v>A7C771</v>
      </c>
      <c r="Z352">
        <v>0</v>
      </c>
      <c r="AA352">
        <v>0</v>
      </c>
      <c r="AB352">
        <v>2</v>
      </c>
      <c r="AC352">
        <v>0</v>
      </c>
      <c r="AE352">
        <v>0</v>
      </c>
      <c r="AF352">
        <v>8</v>
      </c>
      <c r="AG352">
        <v>3</v>
      </c>
      <c r="AH352">
        <v>0</v>
      </c>
      <c r="AI352">
        <v>9</v>
      </c>
      <c r="AJ352" t="s">
        <v>125</v>
      </c>
      <c r="AK352">
        <v>0</v>
      </c>
      <c r="AL352">
        <v>3</v>
      </c>
      <c r="AM352">
        <v>2</v>
      </c>
      <c r="AN352">
        <v>1</v>
      </c>
      <c r="AO352" t="s">
        <v>818</v>
      </c>
      <c r="AP352">
        <v>43.020637000000001</v>
      </c>
      <c r="AQ352" t="s">
        <v>807</v>
      </c>
      <c r="AR352">
        <v>-77.566094000000007</v>
      </c>
      <c r="AS352">
        <v>25</v>
      </c>
      <c r="AT352">
        <v>1975</v>
      </c>
      <c r="AU352" t="s">
        <v>123</v>
      </c>
      <c r="AV352">
        <v>0</v>
      </c>
      <c r="AW352">
        <v>173</v>
      </c>
      <c r="AX352">
        <v>-320</v>
      </c>
      <c r="AZ352">
        <f t="shared" si="56"/>
        <v>0</v>
      </c>
      <c r="BA352">
        <f t="shared" si="57"/>
        <v>29929</v>
      </c>
      <c r="BB352" s="1">
        <f t="shared" si="58"/>
        <v>173</v>
      </c>
      <c r="BJ352">
        <v>1404</v>
      </c>
      <c r="BK352">
        <v>1</v>
      </c>
      <c r="BL352" t="str">
        <f t="shared" si="52"/>
        <v xml:space="preserve">N600C   </v>
      </c>
      <c r="BM352">
        <v>2</v>
      </c>
      <c r="BO352">
        <v>0</v>
      </c>
      <c r="BP352">
        <v>0</v>
      </c>
      <c r="BQ352">
        <v>0</v>
      </c>
      <c r="BR352">
        <v>2150</v>
      </c>
      <c r="BS352">
        <v>175</v>
      </c>
      <c r="BT352" t="s">
        <v>128</v>
      </c>
      <c r="BU352">
        <v>0</v>
      </c>
      <c r="BV352">
        <v>0</v>
      </c>
      <c r="BW352">
        <v>0</v>
      </c>
      <c r="BX352">
        <v>1</v>
      </c>
      <c r="CA352">
        <v>0</v>
      </c>
      <c r="CB352">
        <v>0</v>
      </c>
      <c r="CC352">
        <v>0</v>
      </c>
      <c r="CM352" t="str">
        <f>"17:46:34.417"</f>
        <v>17:46:34.417</v>
      </c>
      <c r="CN352">
        <v>416951969</v>
      </c>
      <c r="CQ352">
        <v>0</v>
      </c>
      <c r="CR352">
        <v>2496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3</v>
      </c>
      <c r="DB352">
        <v>2</v>
      </c>
      <c r="DC352">
        <v>0</v>
      </c>
      <c r="DD352">
        <v>2</v>
      </c>
      <c r="DE352">
        <v>0</v>
      </c>
      <c r="DF352">
        <v>7</v>
      </c>
      <c r="DG352">
        <v>7</v>
      </c>
      <c r="DH352" t="s">
        <v>124</v>
      </c>
      <c r="DI352">
        <v>407</v>
      </c>
      <c r="DJ352">
        <v>3</v>
      </c>
      <c r="DK352" t="s">
        <v>132</v>
      </c>
      <c r="DL352" t="s">
        <v>133</v>
      </c>
      <c r="DO352">
        <v>1610105</v>
      </c>
      <c r="DQ352">
        <v>0</v>
      </c>
      <c r="DR352">
        <v>0</v>
      </c>
      <c r="DS352">
        <v>1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</row>
    <row r="353" spans="1:131" x14ac:dyDescent="0.35">
      <c r="A353" s="2" t="str">
        <f>"17:46:35.756"</f>
        <v>17:46:35.756</v>
      </c>
      <c r="B353" s="4">
        <f t="shared" si="59"/>
        <v>63995.756000000001</v>
      </c>
      <c r="C353" s="4">
        <f t="shared" si="53"/>
        <v>395.75600000000122</v>
      </c>
      <c r="D353" s="3">
        <f t="shared" si="54"/>
        <v>0.7406916203703704</v>
      </c>
      <c r="E353" s="2">
        <f t="shared" si="55"/>
        <v>0.7406916203703704</v>
      </c>
      <c r="G353" t="str">
        <f t="shared" si="50"/>
        <v>FFDFD7C0</v>
      </c>
      <c r="H353" t="s">
        <v>126</v>
      </c>
      <c r="I353">
        <v>8</v>
      </c>
      <c r="J353">
        <v>1008</v>
      </c>
      <c r="K353" t="s">
        <v>129</v>
      </c>
      <c r="N353" t="s">
        <v>127</v>
      </c>
      <c r="O353">
        <v>0</v>
      </c>
      <c r="P353">
        <v>3</v>
      </c>
      <c r="Q353">
        <v>0</v>
      </c>
      <c r="R353">
        <v>2</v>
      </c>
      <c r="S353">
        <v>1</v>
      </c>
      <c r="T353">
        <v>0</v>
      </c>
      <c r="U353">
        <v>0</v>
      </c>
      <c r="W353" t="str">
        <f>"17:46:35.375"</f>
        <v>17:46:35.375</v>
      </c>
      <c r="X353" t="str">
        <f>"17:46:35.175"</f>
        <v>17:46:35.175</v>
      </c>
      <c r="Y353" t="str">
        <f t="shared" si="51"/>
        <v>A7C771</v>
      </c>
      <c r="Z353">
        <v>0</v>
      </c>
      <c r="AA353">
        <v>0</v>
      </c>
      <c r="AB353">
        <v>2</v>
      </c>
      <c r="AC353">
        <v>0</v>
      </c>
      <c r="AE353">
        <v>0</v>
      </c>
      <c r="AF353">
        <v>8</v>
      </c>
      <c r="AG353">
        <v>3</v>
      </c>
      <c r="AH353">
        <v>0</v>
      </c>
      <c r="AI353">
        <v>9</v>
      </c>
      <c r="AJ353" t="s">
        <v>125</v>
      </c>
      <c r="AK353">
        <v>0</v>
      </c>
      <c r="AL353">
        <v>3</v>
      </c>
      <c r="AM353">
        <v>2</v>
      </c>
      <c r="AN353">
        <v>1</v>
      </c>
      <c r="AO353" t="s">
        <v>819</v>
      </c>
      <c r="AP353">
        <v>43.021451999999996</v>
      </c>
      <c r="AQ353" t="s">
        <v>807</v>
      </c>
      <c r="AR353">
        <v>-77.566094000000007</v>
      </c>
      <c r="AS353">
        <v>25</v>
      </c>
      <c r="AT353">
        <v>1975</v>
      </c>
      <c r="AU353" t="s">
        <v>123</v>
      </c>
      <c r="AV353">
        <v>0</v>
      </c>
      <c r="AW353">
        <v>173</v>
      </c>
      <c r="AX353">
        <v>-256</v>
      </c>
      <c r="AZ353">
        <f t="shared" si="56"/>
        <v>0</v>
      </c>
      <c r="BA353">
        <f t="shared" si="57"/>
        <v>29929</v>
      </c>
      <c r="BB353" s="1">
        <f t="shared" si="58"/>
        <v>173</v>
      </c>
      <c r="BJ353">
        <v>1404</v>
      </c>
      <c r="BK353">
        <v>1</v>
      </c>
      <c r="BL353" t="str">
        <f t="shared" si="52"/>
        <v xml:space="preserve">N600C   </v>
      </c>
      <c r="BM353">
        <v>2</v>
      </c>
      <c r="BO353">
        <v>0</v>
      </c>
      <c r="BP353">
        <v>0</v>
      </c>
      <c r="BQ353">
        <v>0</v>
      </c>
      <c r="BR353">
        <v>2150</v>
      </c>
      <c r="BS353">
        <v>175</v>
      </c>
      <c r="BT353" t="s">
        <v>128</v>
      </c>
      <c r="BU353">
        <v>0</v>
      </c>
      <c r="BV353">
        <v>0</v>
      </c>
      <c r="BW353">
        <v>0</v>
      </c>
      <c r="BX353">
        <v>1</v>
      </c>
      <c r="CA353">
        <v>0</v>
      </c>
      <c r="CB353">
        <v>0</v>
      </c>
      <c r="CC353">
        <v>0</v>
      </c>
      <c r="CM353" t="str">
        <f>"17:46:35.377"</f>
        <v>17:46:35.377</v>
      </c>
      <c r="CN353">
        <v>377127251</v>
      </c>
      <c r="CQ353">
        <v>0</v>
      </c>
      <c r="CR353">
        <v>2496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3</v>
      </c>
      <c r="DB353">
        <v>2</v>
      </c>
      <c r="DC353">
        <v>0</v>
      </c>
      <c r="DD353">
        <v>2</v>
      </c>
      <c r="DE353">
        <v>0</v>
      </c>
      <c r="DF353">
        <v>7</v>
      </c>
      <c r="DG353">
        <v>7</v>
      </c>
      <c r="DH353" t="s">
        <v>124</v>
      </c>
      <c r="DI353">
        <v>71</v>
      </c>
      <c r="DJ353">
        <v>1</v>
      </c>
      <c r="DK353" t="s">
        <v>134</v>
      </c>
      <c r="DL353" t="s">
        <v>135</v>
      </c>
      <c r="DO353">
        <v>11543570</v>
      </c>
      <c r="DQ353">
        <v>0</v>
      </c>
      <c r="DR353">
        <v>0</v>
      </c>
      <c r="DS353">
        <v>1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</row>
    <row r="354" spans="1:131" x14ac:dyDescent="0.35">
      <c r="A354" s="2" t="str">
        <f>"17:46:36.725"</f>
        <v>17:46:36.725</v>
      </c>
      <c r="B354" s="4">
        <f t="shared" si="59"/>
        <v>63996.724999999999</v>
      </c>
      <c r="C354" s="4">
        <f t="shared" si="53"/>
        <v>396.72499999999854</v>
      </c>
      <c r="D354" s="3">
        <f t="shared" si="54"/>
        <v>0.74070283564814809</v>
      </c>
      <c r="E354" s="2">
        <f t="shared" si="55"/>
        <v>0.74070283564814809</v>
      </c>
      <c r="G354" t="str">
        <f t="shared" si="50"/>
        <v>FFDFD7C0</v>
      </c>
      <c r="H354" t="s">
        <v>126</v>
      </c>
      <c r="I354">
        <v>8</v>
      </c>
      <c r="J354">
        <v>1008</v>
      </c>
      <c r="K354" t="s">
        <v>129</v>
      </c>
      <c r="N354" t="s">
        <v>127</v>
      </c>
      <c r="O354">
        <v>0</v>
      </c>
      <c r="P354">
        <v>3</v>
      </c>
      <c r="Q354">
        <v>0</v>
      </c>
      <c r="R354">
        <v>2</v>
      </c>
      <c r="S354">
        <v>1</v>
      </c>
      <c r="T354">
        <v>0</v>
      </c>
      <c r="U354">
        <v>0</v>
      </c>
      <c r="W354" t="str">
        <f>"17:46:36.469"</f>
        <v>17:46:36.469</v>
      </c>
      <c r="X354" t="str">
        <f>"17:46:36.269"</f>
        <v>17:46:36.269</v>
      </c>
      <c r="Y354" t="str">
        <f t="shared" si="51"/>
        <v>A7C771</v>
      </c>
      <c r="Z354">
        <v>0</v>
      </c>
      <c r="AA354">
        <v>0</v>
      </c>
      <c r="AB354">
        <v>2</v>
      </c>
      <c r="AC354">
        <v>0</v>
      </c>
      <c r="AE354">
        <v>0</v>
      </c>
      <c r="AF354">
        <v>8</v>
      </c>
      <c r="AG354">
        <v>3</v>
      </c>
      <c r="AH354">
        <v>0</v>
      </c>
      <c r="AI354">
        <v>9</v>
      </c>
      <c r="AJ354" t="s">
        <v>125</v>
      </c>
      <c r="AK354">
        <v>0</v>
      </c>
      <c r="AL354">
        <v>3</v>
      </c>
      <c r="AM354">
        <v>2</v>
      </c>
      <c r="AN354">
        <v>1</v>
      </c>
      <c r="AO354" t="s">
        <v>820</v>
      </c>
      <c r="AP354">
        <v>43.022311000000002</v>
      </c>
      <c r="AQ354" t="s">
        <v>807</v>
      </c>
      <c r="AR354">
        <v>-77.566094000000007</v>
      </c>
      <c r="AS354">
        <v>25</v>
      </c>
      <c r="AT354">
        <v>1975</v>
      </c>
      <c r="AU354" t="s">
        <v>123</v>
      </c>
      <c r="AV354">
        <v>0</v>
      </c>
      <c r="AW354">
        <v>173</v>
      </c>
      <c r="AX354">
        <v>-192</v>
      </c>
      <c r="AZ354">
        <f t="shared" si="56"/>
        <v>0</v>
      </c>
      <c r="BA354">
        <f t="shared" si="57"/>
        <v>29929</v>
      </c>
      <c r="BB354" s="1">
        <f t="shared" si="58"/>
        <v>173</v>
      </c>
      <c r="BJ354">
        <v>1404</v>
      </c>
      <c r="BK354">
        <v>1</v>
      </c>
      <c r="BL354" t="str">
        <f t="shared" si="52"/>
        <v xml:space="preserve">N600C   </v>
      </c>
      <c r="BM354">
        <v>2</v>
      </c>
      <c r="BO354">
        <v>0</v>
      </c>
      <c r="BP354">
        <v>0</v>
      </c>
      <c r="BQ354">
        <v>0</v>
      </c>
      <c r="BR354">
        <v>2150</v>
      </c>
      <c r="BS354">
        <v>175</v>
      </c>
      <c r="BT354" t="s">
        <v>128</v>
      </c>
      <c r="BU354">
        <v>0</v>
      </c>
      <c r="BV354">
        <v>0</v>
      </c>
      <c r="BW354">
        <v>0</v>
      </c>
      <c r="BX354">
        <v>1</v>
      </c>
      <c r="CA354">
        <v>0</v>
      </c>
      <c r="CB354">
        <v>0</v>
      </c>
      <c r="CC354">
        <v>0</v>
      </c>
      <c r="CM354" t="str">
        <f>"17:46:36.473"</f>
        <v>17:46:36.473</v>
      </c>
      <c r="CN354">
        <v>473329733</v>
      </c>
      <c r="CQ354">
        <v>0</v>
      </c>
      <c r="CR354">
        <v>2496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3</v>
      </c>
      <c r="DB354">
        <v>2</v>
      </c>
      <c r="DC354">
        <v>0</v>
      </c>
      <c r="DD354">
        <v>2</v>
      </c>
      <c r="DE354">
        <v>0</v>
      </c>
      <c r="DF354">
        <v>7</v>
      </c>
      <c r="DG354">
        <v>7</v>
      </c>
      <c r="DH354" t="s">
        <v>124</v>
      </c>
      <c r="DI354">
        <v>71</v>
      </c>
      <c r="DJ354">
        <v>0</v>
      </c>
      <c r="DK354" t="s">
        <v>134</v>
      </c>
      <c r="DL354" t="s">
        <v>135</v>
      </c>
      <c r="DO354">
        <v>10190241</v>
      </c>
      <c r="DQ354">
        <v>0</v>
      </c>
      <c r="DR354">
        <v>0</v>
      </c>
      <c r="DS354">
        <v>1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</row>
    <row r="355" spans="1:131" x14ac:dyDescent="0.35">
      <c r="A355" s="2" t="str">
        <f>"17:46:38.209"</f>
        <v>17:46:38.209</v>
      </c>
      <c r="B355" s="4">
        <f t="shared" si="59"/>
        <v>63998.209000000003</v>
      </c>
      <c r="C355" s="4">
        <f t="shared" si="53"/>
        <v>398.20900000000256</v>
      </c>
      <c r="D355" s="3">
        <f t="shared" si="54"/>
        <v>0.74072001157407408</v>
      </c>
      <c r="E355" s="2">
        <f t="shared" si="55"/>
        <v>0.74072001157407408</v>
      </c>
      <c r="G355" t="str">
        <f t="shared" si="50"/>
        <v>FFDFD7C0</v>
      </c>
      <c r="H355" t="s">
        <v>126</v>
      </c>
      <c r="I355">
        <v>8</v>
      </c>
      <c r="J355">
        <v>1008</v>
      </c>
      <c r="K355" t="s">
        <v>129</v>
      </c>
      <c r="N355" t="s">
        <v>127</v>
      </c>
      <c r="O355">
        <v>0</v>
      </c>
      <c r="P355">
        <v>3</v>
      </c>
      <c r="Q355">
        <v>0</v>
      </c>
      <c r="R355">
        <v>2</v>
      </c>
      <c r="S355">
        <v>1</v>
      </c>
      <c r="T355">
        <v>0</v>
      </c>
      <c r="U355">
        <v>0</v>
      </c>
      <c r="W355" t="str">
        <f>"17:46:37.555"</f>
        <v>17:46:37.555</v>
      </c>
      <c r="X355" t="str">
        <f>"17:46:37.355"</f>
        <v>17:46:37.355</v>
      </c>
      <c r="Y355" t="str">
        <f t="shared" si="51"/>
        <v>A7C771</v>
      </c>
      <c r="Z355">
        <v>0</v>
      </c>
      <c r="AA355">
        <v>0</v>
      </c>
      <c r="AB355">
        <v>2</v>
      </c>
      <c r="AC355">
        <v>0</v>
      </c>
      <c r="AE355">
        <v>0</v>
      </c>
      <c r="AF355">
        <v>8</v>
      </c>
      <c r="AG355">
        <v>3</v>
      </c>
      <c r="AH355">
        <v>0</v>
      </c>
      <c r="AI355">
        <v>9</v>
      </c>
      <c r="AJ355" t="s">
        <v>125</v>
      </c>
      <c r="AK355">
        <v>0</v>
      </c>
      <c r="AL355">
        <v>3</v>
      </c>
      <c r="AM355">
        <v>2</v>
      </c>
      <c r="AN355">
        <v>1</v>
      </c>
      <c r="AO355" t="s">
        <v>821</v>
      </c>
      <c r="AP355">
        <v>43.02319</v>
      </c>
      <c r="AQ355" t="s">
        <v>807</v>
      </c>
      <c r="AR355">
        <v>-77.566094000000007</v>
      </c>
      <c r="AS355">
        <v>25</v>
      </c>
      <c r="AT355">
        <v>1950</v>
      </c>
      <c r="AU355" t="s">
        <v>123</v>
      </c>
      <c r="AV355">
        <v>1</v>
      </c>
      <c r="AW355">
        <v>173</v>
      </c>
      <c r="AX355">
        <v>-128</v>
      </c>
      <c r="AZ355">
        <f t="shared" si="56"/>
        <v>1</v>
      </c>
      <c r="BA355">
        <f t="shared" si="57"/>
        <v>29929</v>
      </c>
      <c r="BB355" s="1">
        <f t="shared" si="58"/>
        <v>173.00289014926889</v>
      </c>
      <c r="BJ355">
        <v>1404</v>
      </c>
      <c r="BK355">
        <v>1</v>
      </c>
      <c r="BL355" t="str">
        <f t="shared" si="52"/>
        <v xml:space="preserve">N600C   </v>
      </c>
      <c r="BM355">
        <v>2</v>
      </c>
      <c r="BO355">
        <v>0</v>
      </c>
      <c r="BP355">
        <v>0</v>
      </c>
      <c r="BQ355">
        <v>0</v>
      </c>
      <c r="BR355">
        <v>2150</v>
      </c>
      <c r="BS355">
        <v>200</v>
      </c>
      <c r="BT355" t="s">
        <v>128</v>
      </c>
      <c r="BU355">
        <v>0</v>
      </c>
      <c r="BV355">
        <v>0</v>
      </c>
      <c r="BW355">
        <v>0</v>
      </c>
      <c r="BX355">
        <v>1</v>
      </c>
      <c r="CA355">
        <v>0</v>
      </c>
      <c r="CB355">
        <v>0</v>
      </c>
      <c r="CC355">
        <v>0</v>
      </c>
      <c r="CM355" t="str">
        <f>"17:46:37.562"</f>
        <v>17:46:37.562</v>
      </c>
      <c r="CN355">
        <v>561534996</v>
      </c>
      <c r="CQ355">
        <v>0</v>
      </c>
      <c r="CR355">
        <v>2496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3</v>
      </c>
      <c r="DB355">
        <v>2</v>
      </c>
      <c r="DC355">
        <v>0</v>
      </c>
      <c r="DD355">
        <v>2</v>
      </c>
      <c r="DE355">
        <v>0</v>
      </c>
      <c r="DF355">
        <v>7</v>
      </c>
      <c r="DG355">
        <v>7</v>
      </c>
      <c r="DH355" t="s">
        <v>124</v>
      </c>
      <c r="DI355">
        <v>71</v>
      </c>
      <c r="DJ355">
        <v>1</v>
      </c>
      <c r="DK355" t="s">
        <v>134</v>
      </c>
      <c r="DL355" t="s">
        <v>135</v>
      </c>
      <c r="DO355">
        <v>11545645</v>
      </c>
      <c r="DQ355">
        <v>0</v>
      </c>
      <c r="DR355">
        <v>0</v>
      </c>
      <c r="DS355">
        <v>1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</row>
    <row r="356" spans="1:131" x14ac:dyDescent="0.35">
      <c r="A356" s="2" t="str">
        <f>"17:46:38.882"</f>
        <v>17:46:38.882</v>
      </c>
      <c r="B356" s="4">
        <f t="shared" si="59"/>
        <v>63998.881999999998</v>
      </c>
      <c r="C356" s="4">
        <f t="shared" si="53"/>
        <v>398.88199999999779</v>
      </c>
      <c r="D356" s="3">
        <f t="shared" si="54"/>
        <v>0.74072780092592594</v>
      </c>
      <c r="E356" s="2">
        <f t="shared" si="55"/>
        <v>0.74072780092592594</v>
      </c>
      <c r="G356" t="str">
        <f t="shared" si="50"/>
        <v>FFDFD7C0</v>
      </c>
      <c r="H356" t="s">
        <v>126</v>
      </c>
      <c r="I356">
        <v>8</v>
      </c>
      <c r="J356">
        <v>1008</v>
      </c>
      <c r="K356" t="s">
        <v>129</v>
      </c>
      <c r="N356" t="s">
        <v>127</v>
      </c>
      <c r="O356">
        <v>0</v>
      </c>
      <c r="P356">
        <v>3</v>
      </c>
      <c r="Q356">
        <v>0</v>
      </c>
      <c r="R356">
        <v>2</v>
      </c>
      <c r="S356">
        <v>1</v>
      </c>
      <c r="T356">
        <v>0</v>
      </c>
      <c r="U356">
        <v>0</v>
      </c>
      <c r="W356" t="str">
        <f>"17:46:38.586"</f>
        <v>17:46:38.586</v>
      </c>
      <c r="X356" t="str">
        <f>"17:46:38.386"</f>
        <v>17:46:38.386</v>
      </c>
      <c r="Y356" t="str">
        <f t="shared" si="51"/>
        <v>A7C771</v>
      </c>
      <c r="Z356">
        <v>0</v>
      </c>
      <c r="AA356">
        <v>0</v>
      </c>
      <c r="AB356">
        <v>2</v>
      </c>
      <c r="AC356">
        <v>0</v>
      </c>
      <c r="AE356">
        <v>0</v>
      </c>
      <c r="AF356">
        <v>8</v>
      </c>
      <c r="AG356">
        <v>3</v>
      </c>
      <c r="AH356">
        <v>0</v>
      </c>
      <c r="AI356">
        <v>9</v>
      </c>
      <c r="AJ356" t="s">
        <v>125</v>
      </c>
      <c r="AK356">
        <v>0</v>
      </c>
      <c r="AL356">
        <v>3</v>
      </c>
      <c r="AM356">
        <v>2</v>
      </c>
      <c r="AN356">
        <v>1</v>
      </c>
      <c r="AO356" t="s">
        <v>822</v>
      </c>
      <c r="AP356">
        <v>43.024026999999997</v>
      </c>
      <c r="AQ356" t="s">
        <v>807</v>
      </c>
      <c r="AR356">
        <v>-77.566094000000007</v>
      </c>
      <c r="AS356">
        <v>25</v>
      </c>
      <c r="AT356">
        <v>1950</v>
      </c>
      <c r="AU356" t="s">
        <v>123</v>
      </c>
      <c r="AV356">
        <v>2</v>
      </c>
      <c r="AW356">
        <v>173</v>
      </c>
      <c r="AX356">
        <v>-64</v>
      </c>
      <c r="AZ356">
        <f t="shared" si="56"/>
        <v>4</v>
      </c>
      <c r="BA356">
        <f t="shared" si="57"/>
        <v>29929</v>
      </c>
      <c r="BB356" s="1">
        <f t="shared" si="58"/>
        <v>173.01156030739679</v>
      </c>
      <c r="BJ356">
        <v>1404</v>
      </c>
      <c r="BK356">
        <v>1</v>
      </c>
      <c r="BL356" t="str">
        <f t="shared" si="52"/>
        <v xml:space="preserve">N600C   </v>
      </c>
      <c r="BM356">
        <v>2</v>
      </c>
      <c r="BO356">
        <v>0</v>
      </c>
      <c r="BP356">
        <v>0</v>
      </c>
      <c r="BQ356">
        <v>0</v>
      </c>
      <c r="BR356">
        <v>2125</v>
      </c>
      <c r="BS356">
        <v>175</v>
      </c>
      <c r="BT356" t="s">
        <v>128</v>
      </c>
      <c r="BU356">
        <v>0</v>
      </c>
      <c r="BV356">
        <v>0</v>
      </c>
      <c r="BW356">
        <v>0</v>
      </c>
      <c r="BX356">
        <v>1</v>
      </c>
      <c r="CA356">
        <v>0</v>
      </c>
      <c r="CB356">
        <v>0</v>
      </c>
      <c r="CC356">
        <v>0</v>
      </c>
      <c r="CM356" t="str">
        <f>"17:46:38.594"</f>
        <v>17:46:38.594</v>
      </c>
      <c r="CN356">
        <v>593730202</v>
      </c>
      <c r="CQ356">
        <v>0</v>
      </c>
      <c r="CR356">
        <v>2496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3</v>
      </c>
      <c r="DB356">
        <v>2</v>
      </c>
      <c r="DC356">
        <v>0</v>
      </c>
      <c r="DD356">
        <v>2</v>
      </c>
      <c r="DE356">
        <v>0</v>
      </c>
      <c r="DF356">
        <v>7</v>
      </c>
      <c r="DG356">
        <v>7</v>
      </c>
      <c r="DH356" t="s">
        <v>124</v>
      </c>
      <c r="DI356">
        <v>71</v>
      </c>
      <c r="DJ356">
        <v>1</v>
      </c>
      <c r="DK356" t="s">
        <v>134</v>
      </c>
      <c r="DL356" t="s">
        <v>135</v>
      </c>
      <c r="DO356">
        <v>11546432</v>
      </c>
      <c r="DQ356">
        <v>0</v>
      </c>
      <c r="DR356">
        <v>0</v>
      </c>
      <c r="DS356">
        <v>1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</row>
    <row r="357" spans="1:131" x14ac:dyDescent="0.35">
      <c r="A357" s="2" t="str">
        <f>"17:46:39.694"</f>
        <v>17:46:39.694</v>
      </c>
      <c r="B357" s="4">
        <f t="shared" si="59"/>
        <v>63999.694000000003</v>
      </c>
      <c r="C357" s="4">
        <f t="shared" si="53"/>
        <v>399.69400000000314</v>
      </c>
      <c r="D357" s="3">
        <f t="shared" si="54"/>
        <v>0.74073719907407409</v>
      </c>
      <c r="E357" s="2">
        <f t="shared" si="55"/>
        <v>0.74073719907407409</v>
      </c>
      <c r="G357" t="str">
        <f t="shared" si="50"/>
        <v>FFDFD7C0</v>
      </c>
      <c r="H357" t="s">
        <v>126</v>
      </c>
      <c r="I357">
        <v>8</v>
      </c>
      <c r="J357">
        <v>1008</v>
      </c>
      <c r="K357" t="s">
        <v>129</v>
      </c>
      <c r="N357" t="s">
        <v>127</v>
      </c>
      <c r="O357">
        <v>0</v>
      </c>
      <c r="P357">
        <v>3</v>
      </c>
      <c r="Q357">
        <v>0</v>
      </c>
      <c r="R357">
        <v>2</v>
      </c>
      <c r="S357">
        <v>1</v>
      </c>
      <c r="T357">
        <v>0</v>
      </c>
      <c r="U357">
        <v>0</v>
      </c>
      <c r="W357" t="str">
        <f>"17:46:39.453"</f>
        <v>17:46:39.453</v>
      </c>
      <c r="X357" t="str">
        <f>"17:46:39.453"</f>
        <v>17:46:39.453</v>
      </c>
      <c r="Y357" t="str">
        <f t="shared" si="51"/>
        <v>A7C771</v>
      </c>
      <c r="Z357">
        <v>0</v>
      </c>
      <c r="AA357">
        <v>0</v>
      </c>
      <c r="AB357">
        <v>2</v>
      </c>
      <c r="AC357">
        <v>0</v>
      </c>
      <c r="AE357">
        <v>0</v>
      </c>
      <c r="AF357">
        <v>8</v>
      </c>
      <c r="AG357">
        <v>3</v>
      </c>
      <c r="AH357">
        <v>0</v>
      </c>
      <c r="AI357">
        <v>9</v>
      </c>
      <c r="AJ357" t="s">
        <v>125</v>
      </c>
      <c r="AK357">
        <v>0</v>
      </c>
      <c r="AL357">
        <v>3</v>
      </c>
      <c r="AM357">
        <v>2</v>
      </c>
      <c r="AN357">
        <v>1</v>
      </c>
      <c r="AO357" t="s">
        <v>824</v>
      </c>
      <c r="AP357">
        <v>43.024692999999999</v>
      </c>
      <c r="AQ357" t="s">
        <v>823</v>
      </c>
      <c r="AR357">
        <v>-77.566029999999998</v>
      </c>
      <c r="AS357">
        <v>25</v>
      </c>
      <c r="AT357">
        <v>1950</v>
      </c>
      <c r="AU357" t="s">
        <v>123</v>
      </c>
      <c r="AV357">
        <v>2</v>
      </c>
      <c r="AW357">
        <v>173</v>
      </c>
      <c r="AX357">
        <v>0</v>
      </c>
      <c r="AZ357">
        <f t="shared" si="56"/>
        <v>4</v>
      </c>
      <c r="BA357">
        <f t="shared" si="57"/>
        <v>29929</v>
      </c>
      <c r="BB357" s="1">
        <f t="shared" si="58"/>
        <v>173.01156030739679</v>
      </c>
      <c r="BJ357">
        <v>1404</v>
      </c>
      <c r="BK357">
        <v>1</v>
      </c>
      <c r="BL357" t="str">
        <f t="shared" si="52"/>
        <v xml:space="preserve">N600C   </v>
      </c>
      <c r="BM357">
        <v>2</v>
      </c>
      <c r="BO357">
        <v>0</v>
      </c>
      <c r="BP357">
        <v>0</v>
      </c>
      <c r="BQ357">
        <v>0</v>
      </c>
      <c r="BR357">
        <v>2125</v>
      </c>
      <c r="BS357">
        <v>175</v>
      </c>
      <c r="BT357" t="s">
        <v>128</v>
      </c>
      <c r="BU357">
        <v>0</v>
      </c>
      <c r="BV357">
        <v>0</v>
      </c>
      <c r="BW357">
        <v>0</v>
      </c>
      <c r="BX357">
        <v>1</v>
      </c>
      <c r="CA357">
        <v>0</v>
      </c>
      <c r="CB357">
        <v>0</v>
      </c>
      <c r="CC357">
        <v>0</v>
      </c>
      <c r="CM357" t="str">
        <f>"17:46:39.458"</f>
        <v>17:46:39.458</v>
      </c>
      <c r="CN357">
        <v>457888407</v>
      </c>
      <c r="CQ357">
        <v>0</v>
      </c>
      <c r="CR357">
        <v>2496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3</v>
      </c>
      <c r="DB357">
        <v>2</v>
      </c>
      <c r="DC357">
        <v>0</v>
      </c>
      <c r="DD357">
        <v>2</v>
      </c>
      <c r="DE357">
        <v>0</v>
      </c>
      <c r="DF357">
        <v>7</v>
      </c>
      <c r="DG357">
        <v>7</v>
      </c>
      <c r="DH357" t="s">
        <v>124</v>
      </c>
      <c r="DI357">
        <v>71</v>
      </c>
      <c r="DJ357">
        <v>0</v>
      </c>
      <c r="DK357" t="s">
        <v>134</v>
      </c>
      <c r="DL357" t="s">
        <v>135</v>
      </c>
      <c r="DO357">
        <v>10192384</v>
      </c>
      <c r="DQ357">
        <v>0</v>
      </c>
      <c r="DR357">
        <v>0</v>
      </c>
      <c r="DS357">
        <v>1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</row>
    <row r="358" spans="1:131" x14ac:dyDescent="0.35">
      <c r="A358" s="2" t="str">
        <f>"17:46:40.617"</f>
        <v>17:46:40.617</v>
      </c>
      <c r="B358" s="4">
        <f t="shared" si="59"/>
        <v>64000.616999999998</v>
      </c>
      <c r="C358" s="4">
        <f t="shared" si="53"/>
        <v>400.61699999999837</v>
      </c>
      <c r="D358" s="3">
        <f t="shared" si="54"/>
        <v>0.74074788194444441</v>
      </c>
      <c r="E358" s="2">
        <f t="shared" si="55"/>
        <v>0.74074788194444441</v>
      </c>
      <c r="G358" t="str">
        <f t="shared" si="50"/>
        <v>FFDFD7C0</v>
      </c>
      <c r="H358" t="s">
        <v>126</v>
      </c>
      <c r="I358">
        <v>8</v>
      </c>
      <c r="J358">
        <v>1008</v>
      </c>
      <c r="K358" t="s">
        <v>129</v>
      </c>
      <c r="N358" t="s">
        <v>127</v>
      </c>
      <c r="O358">
        <v>0</v>
      </c>
      <c r="P358">
        <v>3</v>
      </c>
      <c r="Q358">
        <v>0</v>
      </c>
      <c r="R358">
        <v>2</v>
      </c>
      <c r="S358">
        <v>1</v>
      </c>
      <c r="T358">
        <v>0</v>
      </c>
      <c r="U358">
        <v>0</v>
      </c>
      <c r="W358" t="str">
        <f>"17:46:40.414"</f>
        <v>17:46:40.414</v>
      </c>
      <c r="X358" t="str">
        <f>"17:46:39.914"</f>
        <v>17:46:39.914</v>
      </c>
      <c r="Y358" t="str">
        <f t="shared" si="51"/>
        <v>A7C771</v>
      </c>
      <c r="Z358">
        <v>0</v>
      </c>
      <c r="AA358">
        <v>0</v>
      </c>
      <c r="AB358">
        <v>2</v>
      </c>
      <c r="AC358">
        <v>0</v>
      </c>
      <c r="AE358">
        <v>0</v>
      </c>
      <c r="AF358">
        <v>8</v>
      </c>
      <c r="AG358">
        <v>3</v>
      </c>
      <c r="AH358">
        <v>0</v>
      </c>
      <c r="AI358">
        <v>9</v>
      </c>
      <c r="AJ358" t="s">
        <v>125</v>
      </c>
      <c r="AK358">
        <v>0</v>
      </c>
      <c r="AL358">
        <v>3</v>
      </c>
      <c r="AM358">
        <v>2</v>
      </c>
      <c r="AN358">
        <v>1</v>
      </c>
      <c r="AO358" t="s">
        <v>825</v>
      </c>
      <c r="AP358">
        <v>43.025444</v>
      </c>
      <c r="AQ358" t="s">
        <v>823</v>
      </c>
      <c r="AR358">
        <v>-77.566029999999998</v>
      </c>
      <c r="AS358">
        <v>25</v>
      </c>
      <c r="AT358">
        <v>1975</v>
      </c>
      <c r="AU358" t="s">
        <v>123</v>
      </c>
      <c r="AV358">
        <v>3</v>
      </c>
      <c r="AW358">
        <v>172</v>
      </c>
      <c r="AX358">
        <v>0</v>
      </c>
      <c r="AZ358">
        <f t="shared" si="56"/>
        <v>9</v>
      </c>
      <c r="BA358">
        <f t="shared" si="57"/>
        <v>29584</v>
      </c>
      <c r="BB358" s="1">
        <f t="shared" si="58"/>
        <v>172.02616080119907</v>
      </c>
      <c r="BJ358">
        <v>1404</v>
      </c>
      <c r="BK358">
        <v>1</v>
      </c>
      <c r="BL358" t="str">
        <f t="shared" si="52"/>
        <v xml:space="preserve">N600C   </v>
      </c>
      <c r="BM358">
        <v>2</v>
      </c>
      <c r="BO358">
        <v>0</v>
      </c>
      <c r="BP358">
        <v>0</v>
      </c>
      <c r="BQ358">
        <v>0</v>
      </c>
      <c r="BR358">
        <v>2125</v>
      </c>
      <c r="BS358">
        <v>150</v>
      </c>
      <c r="BT358" t="s">
        <v>128</v>
      </c>
      <c r="BU358">
        <v>0</v>
      </c>
      <c r="BV358">
        <v>0</v>
      </c>
      <c r="BW358">
        <v>0</v>
      </c>
      <c r="BX358">
        <v>1</v>
      </c>
      <c r="CA358">
        <v>0</v>
      </c>
      <c r="CB358">
        <v>0</v>
      </c>
      <c r="CC358">
        <v>0</v>
      </c>
      <c r="CM358" t="str">
        <f>"17:46:40.418"</f>
        <v>17:46:40.418</v>
      </c>
      <c r="CN358">
        <v>418065869</v>
      </c>
      <c r="CQ358">
        <v>0</v>
      </c>
      <c r="CR358">
        <v>2496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3</v>
      </c>
      <c r="DB358">
        <v>2</v>
      </c>
      <c r="DC358">
        <v>0</v>
      </c>
      <c r="DD358">
        <v>2</v>
      </c>
      <c r="DE358">
        <v>0</v>
      </c>
      <c r="DF358">
        <v>7</v>
      </c>
      <c r="DG358">
        <v>7</v>
      </c>
      <c r="DH358" t="s">
        <v>124</v>
      </c>
      <c r="DI358">
        <v>71</v>
      </c>
      <c r="DJ358">
        <v>0</v>
      </c>
      <c r="DK358" t="s">
        <v>134</v>
      </c>
      <c r="DL358" t="s">
        <v>135</v>
      </c>
      <c r="DO358">
        <v>10193062</v>
      </c>
      <c r="DQ358">
        <v>0</v>
      </c>
      <c r="DR358">
        <v>0</v>
      </c>
      <c r="DS358">
        <v>1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</row>
    <row r="359" spans="1:131" x14ac:dyDescent="0.35">
      <c r="A359" s="2" t="str">
        <f>"17:46:41.742"</f>
        <v>17:46:41.742</v>
      </c>
      <c r="B359" s="4">
        <f t="shared" si="59"/>
        <v>64001.741999999998</v>
      </c>
      <c r="C359" s="4">
        <f t="shared" si="53"/>
        <v>401.74199999999837</v>
      </c>
      <c r="D359" s="3">
        <f t="shared" si="54"/>
        <v>0.74076090277777773</v>
      </c>
      <c r="E359" s="2">
        <f t="shared" si="55"/>
        <v>0.74076090277777773</v>
      </c>
      <c r="G359" t="str">
        <f t="shared" si="50"/>
        <v>FFDFD7C0</v>
      </c>
      <c r="H359" t="s">
        <v>126</v>
      </c>
      <c r="I359">
        <v>8</v>
      </c>
      <c r="J359">
        <v>1008</v>
      </c>
      <c r="K359" t="s">
        <v>129</v>
      </c>
      <c r="N359" t="s">
        <v>127</v>
      </c>
      <c r="O359">
        <v>0</v>
      </c>
      <c r="P359">
        <v>3</v>
      </c>
      <c r="Q359">
        <v>0</v>
      </c>
      <c r="R359">
        <v>2</v>
      </c>
      <c r="S359">
        <v>1</v>
      </c>
      <c r="T359">
        <v>0</v>
      </c>
      <c r="U359">
        <v>0</v>
      </c>
      <c r="W359" t="str">
        <f>"17:46:41.383"</f>
        <v>17:46:41.383</v>
      </c>
      <c r="X359" t="str">
        <f>"17:46:40.983"</f>
        <v>17:46:40.983</v>
      </c>
      <c r="Y359" t="str">
        <f t="shared" si="51"/>
        <v>A7C771</v>
      </c>
      <c r="Z359">
        <v>0</v>
      </c>
      <c r="AA359">
        <v>0</v>
      </c>
      <c r="AB359">
        <v>2</v>
      </c>
      <c r="AC359">
        <v>0</v>
      </c>
      <c r="AE359">
        <v>0</v>
      </c>
      <c r="AF359">
        <v>8</v>
      </c>
      <c r="AG359">
        <v>3</v>
      </c>
      <c r="AH359">
        <v>0</v>
      </c>
      <c r="AI359">
        <v>9</v>
      </c>
      <c r="AJ359" t="s">
        <v>125</v>
      </c>
      <c r="AK359">
        <v>0</v>
      </c>
      <c r="AL359">
        <v>3</v>
      </c>
      <c r="AM359">
        <v>2</v>
      </c>
      <c r="AN359">
        <v>1</v>
      </c>
      <c r="AO359" t="s">
        <v>826</v>
      </c>
      <c r="AP359">
        <v>43.026215999999998</v>
      </c>
      <c r="AQ359" t="s">
        <v>823</v>
      </c>
      <c r="AR359">
        <v>-77.566029999999998</v>
      </c>
      <c r="AS359">
        <v>25</v>
      </c>
      <c r="AT359">
        <v>1975</v>
      </c>
      <c r="AU359" t="s">
        <v>123</v>
      </c>
      <c r="AV359">
        <v>4</v>
      </c>
      <c r="AW359">
        <v>172</v>
      </c>
      <c r="AX359">
        <v>64</v>
      </c>
      <c r="AZ359">
        <f t="shared" si="56"/>
        <v>16</v>
      </c>
      <c r="BA359">
        <f t="shared" si="57"/>
        <v>29584</v>
      </c>
      <c r="BB359" s="1">
        <f t="shared" si="58"/>
        <v>172.04650534085255</v>
      </c>
      <c r="BJ359">
        <v>1404</v>
      </c>
      <c r="BK359">
        <v>1</v>
      </c>
      <c r="BL359" t="str">
        <f t="shared" si="52"/>
        <v xml:space="preserve">N600C   </v>
      </c>
      <c r="BM359">
        <v>2</v>
      </c>
      <c r="BO359">
        <v>0</v>
      </c>
      <c r="BP359">
        <v>0</v>
      </c>
      <c r="BQ359">
        <v>0</v>
      </c>
      <c r="BR359">
        <v>2150</v>
      </c>
      <c r="BS359">
        <v>175</v>
      </c>
      <c r="BT359" t="s">
        <v>128</v>
      </c>
      <c r="BU359">
        <v>0</v>
      </c>
      <c r="BV359">
        <v>0</v>
      </c>
      <c r="BW359">
        <v>0</v>
      </c>
      <c r="BX359">
        <v>1</v>
      </c>
      <c r="CA359">
        <v>0</v>
      </c>
      <c r="CB359">
        <v>0</v>
      </c>
      <c r="CC359">
        <v>0</v>
      </c>
      <c r="CM359" t="str">
        <f>"17:46:41.386"</f>
        <v>17:46:41.386</v>
      </c>
      <c r="CN359">
        <v>386245549</v>
      </c>
      <c r="CQ359">
        <v>0</v>
      </c>
      <c r="CR359">
        <v>2496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3</v>
      </c>
      <c r="DB359">
        <v>2</v>
      </c>
      <c r="DC359">
        <v>0</v>
      </c>
      <c r="DD359">
        <v>2</v>
      </c>
      <c r="DE359">
        <v>0</v>
      </c>
      <c r="DF359">
        <v>7</v>
      </c>
      <c r="DG359">
        <v>7</v>
      </c>
      <c r="DH359" t="s">
        <v>124</v>
      </c>
      <c r="DI359">
        <v>71</v>
      </c>
      <c r="DJ359">
        <v>0</v>
      </c>
      <c r="DK359" t="s">
        <v>134</v>
      </c>
      <c r="DL359" t="s">
        <v>135</v>
      </c>
      <c r="DO359">
        <v>10193863</v>
      </c>
      <c r="DQ359">
        <v>0</v>
      </c>
      <c r="DR359">
        <v>0</v>
      </c>
      <c r="DS359">
        <v>1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</row>
    <row r="360" spans="1:131" x14ac:dyDescent="0.35">
      <c r="A360" s="2" t="str">
        <f>"17:46:42.508"</f>
        <v>17:46:42.508</v>
      </c>
      <c r="B360" s="4">
        <f t="shared" si="59"/>
        <v>64002.508000000002</v>
      </c>
      <c r="C360" s="4">
        <f t="shared" si="53"/>
        <v>402.50800000000163</v>
      </c>
      <c r="D360" s="3">
        <f t="shared" si="54"/>
        <v>0.7407697685185185</v>
      </c>
      <c r="E360" s="2">
        <f t="shared" si="55"/>
        <v>0.7407697685185185</v>
      </c>
      <c r="G360" t="str">
        <f t="shared" si="50"/>
        <v>FFDFD7C0</v>
      </c>
      <c r="H360" t="s">
        <v>126</v>
      </c>
      <c r="I360">
        <v>8</v>
      </c>
      <c r="J360">
        <v>1008</v>
      </c>
      <c r="K360" t="s">
        <v>129</v>
      </c>
      <c r="N360" t="s">
        <v>127</v>
      </c>
      <c r="O360">
        <v>0</v>
      </c>
      <c r="P360">
        <v>3</v>
      </c>
      <c r="Q360">
        <v>0</v>
      </c>
      <c r="R360">
        <v>2</v>
      </c>
      <c r="S360">
        <v>1</v>
      </c>
      <c r="T360">
        <v>0</v>
      </c>
      <c r="U360">
        <v>0</v>
      </c>
      <c r="W360" t="str">
        <f>"17:46:42.258"</f>
        <v>17:46:42.258</v>
      </c>
      <c r="X360" t="str">
        <f>"17:46:42.058"</f>
        <v>17:46:42.058</v>
      </c>
      <c r="Y360" t="str">
        <f t="shared" si="51"/>
        <v>A7C771</v>
      </c>
      <c r="Z360">
        <v>0</v>
      </c>
      <c r="AA360">
        <v>0</v>
      </c>
      <c r="AB360">
        <v>2</v>
      </c>
      <c r="AC360">
        <v>0</v>
      </c>
      <c r="AE360">
        <v>0</v>
      </c>
      <c r="AF360">
        <v>8</v>
      </c>
      <c r="AG360">
        <v>3</v>
      </c>
      <c r="AH360">
        <v>0</v>
      </c>
      <c r="AI360">
        <v>9</v>
      </c>
      <c r="AJ360" t="s">
        <v>125</v>
      </c>
      <c r="AK360">
        <v>0</v>
      </c>
      <c r="AL360">
        <v>3</v>
      </c>
      <c r="AM360">
        <v>2</v>
      </c>
      <c r="AN360">
        <v>1</v>
      </c>
      <c r="AO360" t="s">
        <v>828</v>
      </c>
      <c r="AP360">
        <v>43.027031000000001</v>
      </c>
      <c r="AQ360" t="s">
        <v>827</v>
      </c>
      <c r="AR360">
        <v>-77.565966000000003</v>
      </c>
      <c r="AS360">
        <v>25</v>
      </c>
      <c r="AT360">
        <v>1975</v>
      </c>
      <c r="AU360" t="s">
        <v>123</v>
      </c>
      <c r="AV360">
        <v>4</v>
      </c>
      <c r="AW360">
        <v>172</v>
      </c>
      <c r="AX360">
        <v>64</v>
      </c>
      <c r="AZ360">
        <f t="shared" si="56"/>
        <v>16</v>
      </c>
      <c r="BA360">
        <f t="shared" si="57"/>
        <v>29584</v>
      </c>
      <c r="BB360" s="1">
        <f t="shared" si="58"/>
        <v>172.04650534085255</v>
      </c>
      <c r="BJ360">
        <v>1404</v>
      </c>
      <c r="BK360">
        <v>1</v>
      </c>
      <c r="BL360" t="str">
        <f t="shared" si="52"/>
        <v xml:space="preserve">N600C   </v>
      </c>
      <c r="BM360">
        <v>2</v>
      </c>
      <c r="BO360">
        <v>0</v>
      </c>
      <c r="BP360">
        <v>0</v>
      </c>
      <c r="BQ360">
        <v>0</v>
      </c>
      <c r="BR360">
        <v>2150</v>
      </c>
      <c r="BS360">
        <v>175</v>
      </c>
      <c r="BT360" t="s">
        <v>128</v>
      </c>
      <c r="BU360">
        <v>0</v>
      </c>
      <c r="BV360">
        <v>0</v>
      </c>
      <c r="BW360">
        <v>0</v>
      </c>
      <c r="BX360">
        <v>1</v>
      </c>
      <c r="CA360">
        <v>0</v>
      </c>
      <c r="CB360">
        <v>0</v>
      </c>
      <c r="CC360">
        <v>0</v>
      </c>
      <c r="CM360" t="str">
        <f>"17:46:42.258"</f>
        <v>17:46:42.258</v>
      </c>
      <c r="CN360">
        <v>258391018</v>
      </c>
      <c r="CQ360">
        <v>0</v>
      </c>
      <c r="CR360">
        <v>2496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3</v>
      </c>
      <c r="DB360">
        <v>2</v>
      </c>
      <c r="DC360">
        <v>0</v>
      </c>
      <c r="DD360">
        <v>2</v>
      </c>
      <c r="DE360">
        <v>0</v>
      </c>
      <c r="DF360">
        <v>7</v>
      </c>
      <c r="DG360">
        <v>7</v>
      </c>
      <c r="DH360" t="s">
        <v>124</v>
      </c>
      <c r="DI360">
        <v>71</v>
      </c>
      <c r="DJ360">
        <v>1</v>
      </c>
      <c r="DK360" t="s">
        <v>134</v>
      </c>
      <c r="DL360" t="s">
        <v>135</v>
      </c>
      <c r="DO360">
        <v>11549771</v>
      </c>
      <c r="DQ360">
        <v>0</v>
      </c>
      <c r="DR360">
        <v>0</v>
      </c>
      <c r="DS360">
        <v>1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</row>
    <row r="361" spans="1:131" x14ac:dyDescent="0.35">
      <c r="A361" s="2" t="str">
        <f>"17:46:43.508"</f>
        <v>17:46:43.508</v>
      </c>
      <c r="B361" s="4">
        <f t="shared" si="59"/>
        <v>64003.508000000002</v>
      </c>
      <c r="C361" s="4">
        <f t="shared" si="53"/>
        <v>403.50800000000163</v>
      </c>
      <c r="D361" s="3">
        <f t="shared" si="54"/>
        <v>0.74078134259259265</v>
      </c>
      <c r="E361" s="2">
        <f t="shared" si="55"/>
        <v>0.74078134259259265</v>
      </c>
      <c r="G361" t="str">
        <f t="shared" si="50"/>
        <v>FFDFD7C0</v>
      </c>
      <c r="H361" t="s">
        <v>126</v>
      </c>
      <c r="I361">
        <v>8</v>
      </c>
      <c r="J361">
        <v>1008</v>
      </c>
      <c r="K361" t="s">
        <v>129</v>
      </c>
      <c r="N361" t="s">
        <v>127</v>
      </c>
      <c r="O361">
        <v>0</v>
      </c>
      <c r="P361">
        <v>3</v>
      </c>
      <c r="Q361">
        <v>0</v>
      </c>
      <c r="R361">
        <v>2</v>
      </c>
      <c r="S361">
        <v>1</v>
      </c>
      <c r="T361">
        <v>0</v>
      </c>
      <c r="U361">
        <v>0</v>
      </c>
      <c r="W361" t="str">
        <f>"17:46:43.250"</f>
        <v>17:46:43.250</v>
      </c>
      <c r="X361" t="str">
        <f>"17:46:42.950"</f>
        <v>17:46:42.950</v>
      </c>
      <c r="Y361" t="str">
        <f t="shared" si="51"/>
        <v>A7C771</v>
      </c>
      <c r="Z361">
        <v>0</v>
      </c>
      <c r="AA361">
        <v>0</v>
      </c>
      <c r="AB361">
        <v>2</v>
      </c>
      <c r="AC361">
        <v>0</v>
      </c>
      <c r="AE361">
        <v>0</v>
      </c>
      <c r="AF361">
        <v>8</v>
      </c>
      <c r="AG361">
        <v>3</v>
      </c>
      <c r="AH361">
        <v>0</v>
      </c>
      <c r="AI361">
        <v>9</v>
      </c>
      <c r="AJ361" t="s">
        <v>125</v>
      </c>
      <c r="AK361">
        <v>0</v>
      </c>
      <c r="AL361">
        <v>3</v>
      </c>
      <c r="AM361">
        <v>2</v>
      </c>
      <c r="AN361">
        <v>1</v>
      </c>
      <c r="AO361" t="s">
        <v>829</v>
      </c>
      <c r="AP361">
        <v>43.027825</v>
      </c>
      <c r="AQ361" t="s">
        <v>827</v>
      </c>
      <c r="AR361">
        <v>-77.565966000000003</v>
      </c>
      <c r="AS361">
        <v>25</v>
      </c>
      <c r="AT361">
        <v>1975</v>
      </c>
      <c r="AU361" t="s">
        <v>123</v>
      </c>
      <c r="AV361">
        <v>4</v>
      </c>
      <c r="AW361">
        <v>172</v>
      </c>
      <c r="AX361">
        <v>128</v>
      </c>
      <c r="AZ361">
        <f t="shared" si="56"/>
        <v>16</v>
      </c>
      <c r="BA361">
        <f t="shared" si="57"/>
        <v>29584</v>
      </c>
      <c r="BB361" s="1">
        <f t="shared" si="58"/>
        <v>172.04650534085255</v>
      </c>
      <c r="BJ361">
        <v>1404</v>
      </c>
      <c r="BK361">
        <v>1</v>
      </c>
      <c r="BL361" t="str">
        <f t="shared" si="52"/>
        <v xml:space="preserve">N600C   </v>
      </c>
      <c r="BM361">
        <v>2</v>
      </c>
      <c r="BO361">
        <v>0</v>
      </c>
      <c r="BP361">
        <v>0</v>
      </c>
      <c r="BQ361">
        <v>0</v>
      </c>
      <c r="BR361">
        <v>2150</v>
      </c>
      <c r="BS361">
        <v>175</v>
      </c>
      <c r="BT361" t="s">
        <v>128</v>
      </c>
      <c r="BU361">
        <v>0</v>
      </c>
      <c r="BV361">
        <v>0</v>
      </c>
      <c r="BW361">
        <v>0</v>
      </c>
      <c r="BX361">
        <v>1</v>
      </c>
      <c r="CA361">
        <v>0</v>
      </c>
      <c r="CB361">
        <v>0</v>
      </c>
      <c r="CC361">
        <v>0</v>
      </c>
      <c r="CM361" t="str">
        <f>"17:46:43.251"</f>
        <v>17:46:43.251</v>
      </c>
      <c r="CN361">
        <v>250571818</v>
      </c>
      <c r="CQ361">
        <v>0</v>
      </c>
      <c r="CR361">
        <v>2496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3</v>
      </c>
      <c r="DB361">
        <v>2</v>
      </c>
      <c r="DC361">
        <v>0</v>
      </c>
      <c r="DD361">
        <v>2</v>
      </c>
      <c r="DE361">
        <v>0</v>
      </c>
      <c r="DF361">
        <v>7</v>
      </c>
      <c r="DG361">
        <v>7</v>
      </c>
      <c r="DH361" t="s">
        <v>124</v>
      </c>
      <c r="DI361">
        <v>71</v>
      </c>
      <c r="DJ361">
        <v>1</v>
      </c>
      <c r="DK361" t="s">
        <v>134</v>
      </c>
      <c r="DL361" t="s">
        <v>135</v>
      </c>
      <c r="DO361">
        <v>11550532</v>
      </c>
      <c r="DQ361">
        <v>0</v>
      </c>
      <c r="DR361">
        <v>0</v>
      </c>
      <c r="DS361">
        <v>1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</row>
    <row r="362" spans="1:131" x14ac:dyDescent="0.35">
      <c r="A362" s="2" t="str">
        <f>"17:46:44.725"</f>
        <v>17:46:44.725</v>
      </c>
      <c r="B362" s="4">
        <f t="shared" si="59"/>
        <v>64004.724999999999</v>
      </c>
      <c r="C362" s="4">
        <f t="shared" si="53"/>
        <v>404.72499999999854</v>
      </c>
      <c r="D362" s="3">
        <f t="shared" si="54"/>
        <v>0.74079542824074074</v>
      </c>
      <c r="E362" s="2">
        <f t="shared" si="55"/>
        <v>0.74079542824074074</v>
      </c>
      <c r="G362" t="str">
        <f t="shared" si="50"/>
        <v>FFDFD7C0</v>
      </c>
      <c r="H362" t="s">
        <v>126</v>
      </c>
      <c r="I362">
        <v>8</v>
      </c>
      <c r="J362">
        <v>1008</v>
      </c>
      <c r="K362" t="s">
        <v>129</v>
      </c>
      <c r="N362" t="s">
        <v>127</v>
      </c>
      <c r="O362">
        <v>0</v>
      </c>
      <c r="P362">
        <v>3</v>
      </c>
      <c r="Q362">
        <v>0</v>
      </c>
      <c r="R362">
        <v>2</v>
      </c>
      <c r="S362">
        <v>1</v>
      </c>
      <c r="T362">
        <v>0</v>
      </c>
      <c r="U362">
        <v>0</v>
      </c>
      <c r="W362" t="str">
        <f>"17:46:44.289"</f>
        <v>17:46:44.289</v>
      </c>
      <c r="X362" t="str">
        <f>"17:46:44.089"</f>
        <v>17:46:44.089</v>
      </c>
      <c r="Y362" t="str">
        <f t="shared" si="51"/>
        <v>A7C771</v>
      </c>
      <c r="Z362">
        <v>0</v>
      </c>
      <c r="AA362">
        <v>0</v>
      </c>
      <c r="AB362">
        <v>2</v>
      </c>
      <c r="AC362">
        <v>0</v>
      </c>
      <c r="AE362">
        <v>0</v>
      </c>
      <c r="AF362">
        <v>8</v>
      </c>
      <c r="AG362">
        <v>3</v>
      </c>
      <c r="AH362">
        <v>0</v>
      </c>
      <c r="AI362">
        <v>9</v>
      </c>
      <c r="AJ362" t="s">
        <v>125</v>
      </c>
      <c r="AK362">
        <v>0</v>
      </c>
      <c r="AL362">
        <v>3</v>
      </c>
      <c r="AM362">
        <v>2</v>
      </c>
      <c r="AN362">
        <v>1</v>
      </c>
      <c r="AO362" t="s">
        <v>830</v>
      </c>
      <c r="AP362">
        <v>43.028598000000002</v>
      </c>
      <c r="AQ362" t="s">
        <v>827</v>
      </c>
      <c r="AR362">
        <v>-77.565966000000003</v>
      </c>
      <c r="AS362">
        <v>25</v>
      </c>
      <c r="AT362">
        <v>1975</v>
      </c>
      <c r="AU362" t="s">
        <v>123</v>
      </c>
      <c r="AV362">
        <v>3</v>
      </c>
      <c r="AW362">
        <v>171</v>
      </c>
      <c r="AX362">
        <v>128</v>
      </c>
      <c r="AZ362">
        <f t="shared" si="56"/>
        <v>9</v>
      </c>
      <c r="BA362">
        <f t="shared" si="57"/>
        <v>29241</v>
      </c>
      <c r="BB362" s="1">
        <f t="shared" si="58"/>
        <v>171.02631376487071</v>
      </c>
      <c r="BJ362">
        <v>1404</v>
      </c>
      <c r="BK362">
        <v>1</v>
      </c>
      <c r="BL362" t="str">
        <f t="shared" si="52"/>
        <v xml:space="preserve">N600C   </v>
      </c>
      <c r="BM362">
        <v>2</v>
      </c>
      <c r="BO362">
        <v>0</v>
      </c>
      <c r="BP362">
        <v>0</v>
      </c>
      <c r="BQ362">
        <v>0</v>
      </c>
      <c r="BR362">
        <v>2150</v>
      </c>
      <c r="BS362">
        <v>175</v>
      </c>
      <c r="BT362" t="s">
        <v>128</v>
      </c>
      <c r="BU362">
        <v>0</v>
      </c>
      <c r="BV362">
        <v>0</v>
      </c>
      <c r="BW362">
        <v>0</v>
      </c>
      <c r="BX362">
        <v>1</v>
      </c>
      <c r="CA362">
        <v>0</v>
      </c>
      <c r="CB362">
        <v>0</v>
      </c>
      <c r="CC362">
        <v>0</v>
      </c>
      <c r="CM362" t="str">
        <f>"17:46:44.291"</f>
        <v>17:46:44.291</v>
      </c>
      <c r="CN362">
        <v>290767809</v>
      </c>
      <c r="CQ362">
        <v>0</v>
      </c>
      <c r="CR362">
        <v>2496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3</v>
      </c>
      <c r="DB362">
        <v>2</v>
      </c>
      <c r="DC362">
        <v>0</v>
      </c>
      <c r="DD362">
        <v>2</v>
      </c>
      <c r="DE362">
        <v>0</v>
      </c>
      <c r="DF362">
        <v>7</v>
      </c>
      <c r="DG362">
        <v>7</v>
      </c>
      <c r="DH362" t="s">
        <v>124</v>
      </c>
      <c r="DI362">
        <v>407</v>
      </c>
      <c r="DJ362">
        <v>3</v>
      </c>
      <c r="DK362" t="s">
        <v>132</v>
      </c>
      <c r="DL362" t="s">
        <v>133</v>
      </c>
      <c r="DO362">
        <v>1620194</v>
      </c>
      <c r="DQ362">
        <v>0</v>
      </c>
      <c r="DR362">
        <v>0</v>
      </c>
      <c r="DS362">
        <v>1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</row>
    <row r="363" spans="1:131" x14ac:dyDescent="0.35">
      <c r="A363" s="2" t="str">
        <f>"17:46:45.475"</f>
        <v>17:46:45.475</v>
      </c>
      <c r="B363" s="4">
        <f t="shared" si="59"/>
        <v>64005.475000000006</v>
      </c>
      <c r="C363" s="4">
        <f t="shared" si="53"/>
        <v>405.47500000000582</v>
      </c>
      <c r="D363" s="3">
        <f t="shared" si="54"/>
        <v>0.74080410879629632</v>
      </c>
      <c r="E363" s="2">
        <f t="shared" si="55"/>
        <v>0.74080410879629632</v>
      </c>
      <c r="G363" t="str">
        <f t="shared" si="50"/>
        <v>FFDFD7C0</v>
      </c>
      <c r="H363" t="s">
        <v>126</v>
      </c>
      <c r="I363">
        <v>8</v>
      </c>
      <c r="J363">
        <v>1008</v>
      </c>
      <c r="K363" t="s">
        <v>129</v>
      </c>
      <c r="N363" t="s">
        <v>127</v>
      </c>
      <c r="O363">
        <v>0</v>
      </c>
      <c r="P363">
        <v>3</v>
      </c>
      <c r="Q363">
        <v>0</v>
      </c>
      <c r="R363">
        <v>2</v>
      </c>
      <c r="S363">
        <v>1</v>
      </c>
      <c r="T363">
        <v>0</v>
      </c>
      <c r="U363">
        <v>0</v>
      </c>
      <c r="W363" t="str">
        <f>"17:46:45.250"</f>
        <v>17:46:45.250</v>
      </c>
      <c r="X363" t="str">
        <f>"17:46:45.050"</f>
        <v>17:46:45.050</v>
      </c>
      <c r="Y363" t="str">
        <f t="shared" si="51"/>
        <v>A7C771</v>
      </c>
      <c r="Z363">
        <v>0</v>
      </c>
      <c r="AA363">
        <v>0</v>
      </c>
      <c r="AB363">
        <v>2</v>
      </c>
      <c r="AC363">
        <v>0</v>
      </c>
      <c r="AE363">
        <v>0</v>
      </c>
      <c r="AF363">
        <v>8</v>
      </c>
      <c r="AG363">
        <v>3</v>
      </c>
      <c r="AH363">
        <v>0</v>
      </c>
      <c r="AI363">
        <v>9</v>
      </c>
      <c r="AJ363" t="s">
        <v>125</v>
      </c>
      <c r="AK363">
        <v>0</v>
      </c>
      <c r="AL363">
        <v>3</v>
      </c>
      <c r="AM363">
        <v>2</v>
      </c>
      <c r="AN363">
        <v>1</v>
      </c>
      <c r="AO363" t="s">
        <v>832</v>
      </c>
      <c r="AP363">
        <v>43.02937</v>
      </c>
      <c r="AQ363" t="s">
        <v>831</v>
      </c>
      <c r="AR363">
        <v>-77.565900999999997</v>
      </c>
      <c r="AS363">
        <v>25</v>
      </c>
      <c r="AT363">
        <v>1975</v>
      </c>
      <c r="AU363" t="s">
        <v>123</v>
      </c>
      <c r="AV363">
        <v>3</v>
      </c>
      <c r="AW363">
        <v>171</v>
      </c>
      <c r="AX363">
        <v>128</v>
      </c>
      <c r="AZ363">
        <f t="shared" si="56"/>
        <v>9</v>
      </c>
      <c r="BA363">
        <f t="shared" si="57"/>
        <v>29241</v>
      </c>
      <c r="BB363" s="1">
        <f t="shared" si="58"/>
        <v>171.02631376487071</v>
      </c>
      <c r="BJ363">
        <v>1404</v>
      </c>
      <c r="BK363">
        <v>1</v>
      </c>
      <c r="BL363" t="str">
        <f t="shared" si="52"/>
        <v xml:space="preserve">N600C   </v>
      </c>
      <c r="BM363">
        <v>2</v>
      </c>
      <c r="BO363">
        <v>0</v>
      </c>
      <c r="BP363">
        <v>0</v>
      </c>
      <c r="BQ363">
        <v>0</v>
      </c>
      <c r="BR363">
        <v>2150</v>
      </c>
      <c r="BS363">
        <v>175</v>
      </c>
      <c r="BT363" t="s">
        <v>128</v>
      </c>
      <c r="BU363">
        <v>0</v>
      </c>
      <c r="BV363">
        <v>0</v>
      </c>
      <c r="BW363">
        <v>0</v>
      </c>
      <c r="BX363">
        <v>1</v>
      </c>
      <c r="CA363">
        <v>0</v>
      </c>
      <c r="CB363">
        <v>0</v>
      </c>
      <c r="CC363">
        <v>0</v>
      </c>
      <c r="CM363" t="str">
        <f>"17:46:45.251"</f>
        <v>17:46:45.251</v>
      </c>
      <c r="CN363">
        <v>250952912</v>
      </c>
      <c r="CQ363">
        <v>0</v>
      </c>
      <c r="CR363">
        <v>2496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3</v>
      </c>
      <c r="DB363">
        <v>2</v>
      </c>
      <c r="DC363">
        <v>0</v>
      </c>
      <c r="DD363">
        <v>2</v>
      </c>
      <c r="DE363">
        <v>0</v>
      </c>
      <c r="DF363">
        <v>7</v>
      </c>
      <c r="DG363">
        <v>7</v>
      </c>
      <c r="DH363" t="s">
        <v>124</v>
      </c>
      <c r="DI363">
        <v>71</v>
      </c>
      <c r="DJ363">
        <v>0</v>
      </c>
      <c r="DK363" t="s">
        <v>134</v>
      </c>
      <c r="DL363" t="s">
        <v>135</v>
      </c>
      <c r="DO363">
        <v>10196613</v>
      </c>
      <c r="DQ363">
        <v>0</v>
      </c>
      <c r="DR363">
        <v>0</v>
      </c>
      <c r="DS363">
        <v>1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</row>
    <row r="364" spans="1:131" x14ac:dyDescent="0.35">
      <c r="A364" s="2" t="str">
        <f>"17:46:46.428"</f>
        <v>17:46:46.428</v>
      </c>
      <c r="B364" s="4">
        <f t="shared" si="59"/>
        <v>64006.427999999993</v>
      </c>
      <c r="C364" s="4">
        <f t="shared" si="53"/>
        <v>406.42799999999261</v>
      </c>
      <c r="D364" s="3">
        <f t="shared" si="54"/>
        <v>0.74081513888888884</v>
      </c>
      <c r="E364" s="2">
        <f t="shared" si="55"/>
        <v>0.74081513888888884</v>
      </c>
      <c r="G364" t="str">
        <f t="shared" si="50"/>
        <v>FFDFD7C0</v>
      </c>
      <c r="H364" t="s">
        <v>126</v>
      </c>
      <c r="I364">
        <v>8</v>
      </c>
      <c r="J364">
        <v>1008</v>
      </c>
      <c r="K364" t="s">
        <v>129</v>
      </c>
      <c r="N364" t="s">
        <v>127</v>
      </c>
      <c r="O364">
        <v>0</v>
      </c>
      <c r="P364">
        <v>3</v>
      </c>
      <c r="Q364">
        <v>0</v>
      </c>
      <c r="R364">
        <v>2</v>
      </c>
      <c r="S364">
        <v>1</v>
      </c>
      <c r="T364">
        <v>0</v>
      </c>
      <c r="U364">
        <v>0</v>
      </c>
      <c r="W364" t="str">
        <f>"17:46:46.125"</f>
        <v>17:46:46.125</v>
      </c>
      <c r="X364" t="str">
        <f>"17:46:45.525"</f>
        <v>17:46:45.525</v>
      </c>
      <c r="Y364" t="str">
        <f t="shared" si="51"/>
        <v>A7C771</v>
      </c>
      <c r="Z364">
        <v>0</v>
      </c>
      <c r="AA364">
        <v>0</v>
      </c>
      <c r="AB364">
        <v>2</v>
      </c>
      <c r="AC364">
        <v>0</v>
      </c>
      <c r="AE364">
        <v>0</v>
      </c>
      <c r="AF364">
        <v>8</v>
      </c>
      <c r="AG364">
        <v>3</v>
      </c>
      <c r="AH364">
        <v>0</v>
      </c>
      <c r="AI364">
        <v>9</v>
      </c>
      <c r="AJ364" t="s">
        <v>125</v>
      </c>
      <c r="AK364">
        <v>0</v>
      </c>
      <c r="AL364">
        <v>3</v>
      </c>
      <c r="AM364">
        <v>2</v>
      </c>
      <c r="AN364">
        <v>1</v>
      </c>
      <c r="AO364" t="s">
        <v>833</v>
      </c>
      <c r="AP364">
        <v>43.030014000000001</v>
      </c>
      <c r="AQ364" t="s">
        <v>831</v>
      </c>
      <c r="AR364">
        <v>-77.565900999999997</v>
      </c>
      <c r="AS364">
        <v>25</v>
      </c>
      <c r="AT364">
        <v>1975</v>
      </c>
      <c r="AU364" t="s">
        <v>123</v>
      </c>
      <c r="AV364">
        <v>3</v>
      </c>
      <c r="AW364">
        <v>170</v>
      </c>
      <c r="AX364">
        <v>128</v>
      </c>
      <c r="AZ364">
        <f t="shared" si="56"/>
        <v>9</v>
      </c>
      <c r="BA364">
        <f t="shared" si="57"/>
        <v>28900</v>
      </c>
      <c r="BB364" s="1">
        <f t="shared" si="58"/>
        <v>170.02646852769718</v>
      </c>
      <c r="BJ364">
        <v>1404</v>
      </c>
      <c r="BK364">
        <v>1</v>
      </c>
      <c r="BL364" t="str">
        <f t="shared" si="52"/>
        <v xml:space="preserve">N600C   </v>
      </c>
      <c r="BM364">
        <v>2</v>
      </c>
      <c r="BO364">
        <v>0</v>
      </c>
      <c r="BP364">
        <v>0</v>
      </c>
      <c r="BQ364">
        <v>0</v>
      </c>
      <c r="BR364">
        <v>2150</v>
      </c>
      <c r="BS364">
        <v>175</v>
      </c>
      <c r="BT364" t="s">
        <v>128</v>
      </c>
      <c r="BU364">
        <v>0</v>
      </c>
      <c r="BV364">
        <v>0</v>
      </c>
      <c r="BW364">
        <v>0</v>
      </c>
      <c r="BX364">
        <v>1</v>
      </c>
      <c r="CA364">
        <v>0</v>
      </c>
      <c r="CB364">
        <v>0</v>
      </c>
      <c r="CC364">
        <v>0</v>
      </c>
      <c r="CM364" t="str">
        <f>"17:46:46.131"</f>
        <v>17:46:46.131</v>
      </c>
      <c r="CN364">
        <v>131109601</v>
      </c>
      <c r="CQ364">
        <v>0</v>
      </c>
      <c r="CR364">
        <v>2496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3</v>
      </c>
      <c r="DB364">
        <v>2</v>
      </c>
      <c r="DC364">
        <v>0</v>
      </c>
      <c r="DD364">
        <v>2</v>
      </c>
      <c r="DE364">
        <v>0</v>
      </c>
      <c r="DF364">
        <v>7</v>
      </c>
      <c r="DG364">
        <v>7</v>
      </c>
      <c r="DH364" t="s">
        <v>124</v>
      </c>
      <c r="DI364">
        <v>71</v>
      </c>
      <c r="DJ364">
        <v>1</v>
      </c>
      <c r="DK364" t="s">
        <v>134</v>
      </c>
      <c r="DL364" t="s">
        <v>135</v>
      </c>
      <c r="DO364">
        <v>11553211</v>
      </c>
      <c r="DQ364">
        <v>0</v>
      </c>
      <c r="DR364">
        <v>0</v>
      </c>
      <c r="DS364">
        <v>1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</row>
    <row r="365" spans="1:131" x14ac:dyDescent="0.35">
      <c r="A365" s="2" t="str">
        <f>"17:46:47.444"</f>
        <v>17:46:47.444</v>
      </c>
      <c r="B365" s="4">
        <f t="shared" si="59"/>
        <v>64007.444000000003</v>
      </c>
      <c r="C365" s="4">
        <f t="shared" si="53"/>
        <v>407.44400000000314</v>
      </c>
      <c r="D365" s="3">
        <f t="shared" si="54"/>
        <v>0.74082689814814817</v>
      </c>
      <c r="E365" s="2">
        <f t="shared" si="55"/>
        <v>0.74082689814814817</v>
      </c>
      <c r="G365" t="str">
        <f t="shared" si="50"/>
        <v>FFDFD7C0</v>
      </c>
      <c r="H365" t="s">
        <v>126</v>
      </c>
      <c r="I365">
        <v>8</v>
      </c>
      <c r="J365">
        <v>1008</v>
      </c>
      <c r="K365" t="s">
        <v>129</v>
      </c>
      <c r="N365" t="s">
        <v>127</v>
      </c>
      <c r="O365">
        <v>0</v>
      </c>
      <c r="P365">
        <v>3</v>
      </c>
      <c r="Q365">
        <v>0</v>
      </c>
      <c r="R365">
        <v>2</v>
      </c>
      <c r="S365">
        <v>1</v>
      </c>
      <c r="T365">
        <v>0</v>
      </c>
      <c r="U365">
        <v>0</v>
      </c>
      <c r="W365" t="str">
        <f>"17:46:46.945"</f>
        <v>17:46:46.945</v>
      </c>
      <c r="X365" t="str">
        <f>"17:46:46.545"</f>
        <v>17:46:46.545</v>
      </c>
      <c r="Y365" t="str">
        <f t="shared" si="51"/>
        <v>A7C771</v>
      </c>
      <c r="Z365">
        <v>0</v>
      </c>
      <c r="AA365">
        <v>0</v>
      </c>
      <c r="AB365">
        <v>2</v>
      </c>
      <c r="AC365">
        <v>0</v>
      </c>
      <c r="AE365">
        <v>0</v>
      </c>
      <c r="AF365">
        <v>8</v>
      </c>
      <c r="AG365">
        <v>3</v>
      </c>
      <c r="AH365">
        <v>0</v>
      </c>
      <c r="AI365">
        <v>9</v>
      </c>
      <c r="AJ365" t="s">
        <v>125</v>
      </c>
      <c r="AK365">
        <v>0</v>
      </c>
      <c r="AL365">
        <v>3</v>
      </c>
      <c r="AM365">
        <v>2</v>
      </c>
      <c r="AN365">
        <v>1</v>
      </c>
      <c r="AO365" t="s">
        <v>834</v>
      </c>
      <c r="AP365">
        <v>43.030658000000003</v>
      </c>
      <c r="AQ365" t="s">
        <v>831</v>
      </c>
      <c r="AR365">
        <v>-77.565900999999997</v>
      </c>
      <c r="AS365">
        <v>25</v>
      </c>
      <c r="AT365">
        <v>1975</v>
      </c>
      <c r="AU365" t="s">
        <v>123</v>
      </c>
      <c r="AV365">
        <v>3</v>
      </c>
      <c r="AW365">
        <v>170</v>
      </c>
      <c r="AX365">
        <v>128</v>
      </c>
      <c r="AZ365">
        <f t="shared" si="56"/>
        <v>9</v>
      </c>
      <c r="BA365">
        <f t="shared" si="57"/>
        <v>28900</v>
      </c>
      <c r="BB365" s="1">
        <f t="shared" si="58"/>
        <v>170.02646852769718</v>
      </c>
      <c r="BJ365">
        <v>1404</v>
      </c>
      <c r="BK365">
        <v>1</v>
      </c>
      <c r="BL365" t="str">
        <f t="shared" si="52"/>
        <v xml:space="preserve">N600C   </v>
      </c>
      <c r="BM365">
        <v>2</v>
      </c>
      <c r="BO365">
        <v>0</v>
      </c>
      <c r="BP365">
        <v>0</v>
      </c>
      <c r="BQ365">
        <v>0</v>
      </c>
      <c r="BR365">
        <v>2150</v>
      </c>
      <c r="BS365">
        <v>175</v>
      </c>
      <c r="BT365" t="s">
        <v>128</v>
      </c>
      <c r="BU365">
        <v>0</v>
      </c>
      <c r="BV365">
        <v>0</v>
      </c>
      <c r="BW365">
        <v>0</v>
      </c>
      <c r="BX365">
        <v>1</v>
      </c>
      <c r="CA365">
        <v>0</v>
      </c>
      <c r="CB365">
        <v>0</v>
      </c>
      <c r="CC365">
        <v>0</v>
      </c>
      <c r="CM365" t="str">
        <f>"17:46:46.947"</f>
        <v>17:46:46.947</v>
      </c>
      <c r="CN365">
        <v>947263418</v>
      </c>
      <c r="CQ365">
        <v>0</v>
      </c>
      <c r="CR365">
        <v>2496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3</v>
      </c>
      <c r="DB365">
        <v>2</v>
      </c>
      <c r="DC365">
        <v>0</v>
      </c>
      <c r="DD365">
        <v>2</v>
      </c>
      <c r="DE365">
        <v>0</v>
      </c>
      <c r="DF365">
        <v>7</v>
      </c>
      <c r="DG365">
        <v>7</v>
      </c>
      <c r="DH365" t="s">
        <v>124</v>
      </c>
      <c r="DI365">
        <v>71</v>
      </c>
      <c r="DJ365">
        <v>0</v>
      </c>
      <c r="DK365" t="s">
        <v>134</v>
      </c>
      <c r="DL365" t="s">
        <v>135</v>
      </c>
      <c r="DO365">
        <v>10197986</v>
      </c>
      <c r="DQ365">
        <v>0</v>
      </c>
      <c r="DR365">
        <v>0</v>
      </c>
      <c r="DS365">
        <v>1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</row>
    <row r="366" spans="1:131" x14ac:dyDescent="0.35">
      <c r="A366" s="2" t="str">
        <f>"17:46:48.210"</f>
        <v>17:46:48.210</v>
      </c>
      <c r="B366" s="4">
        <f t="shared" si="59"/>
        <v>64008.209999999992</v>
      </c>
      <c r="C366" s="4">
        <f t="shared" si="53"/>
        <v>408.20999999999185</v>
      </c>
      <c r="D366" s="3">
        <f t="shared" si="54"/>
        <v>0.74083576388888883</v>
      </c>
      <c r="E366" s="2">
        <f t="shared" si="55"/>
        <v>0.74083576388888883</v>
      </c>
      <c r="G366" t="str">
        <f t="shared" si="50"/>
        <v>FFDFD7C0</v>
      </c>
      <c r="H366" t="s">
        <v>126</v>
      </c>
      <c r="I366">
        <v>8</v>
      </c>
      <c r="J366">
        <v>1008</v>
      </c>
      <c r="K366" t="s">
        <v>129</v>
      </c>
      <c r="N366" t="s">
        <v>127</v>
      </c>
      <c r="O366">
        <v>0</v>
      </c>
      <c r="P366">
        <v>3</v>
      </c>
      <c r="Q366">
        <v>0</v>
      </c>
      <c r="R366">
        <v>2</v>
      </c>
      <c r="S366">
        <v>1</v>
      </c>
      <c r="T366">
        <v>0</v>
      </c>
      <c r="U366">
        <v>0</v>
      </c>
      <c r="W366" t="str">
        <f>"17:46:47.977"</f>
        <v>17:46:47.977</v>
      </c>
      <c r="X366" t="str">
        <f>"17:46:47.677"</f>
        <v>17:46:47.677</v>
      </c>
      <c r="Y366" t="str">
        <f t="shared" si="51"/>
        <v>A7C771</v>
      </c>
      <c r="Z366">
        <v>0</v>
      </c>
      <c r="AA366">
        <v>0</v>
      </c>
      <c r="AB366">
        <v>2</v>
      </c>
      <c r="AC366">
        <v>0</v>
      </c>
      <c r="AE366">
        <v>0</v>
      </c>
      <c r="AF366">
        <v>8</v>
      </c>
      <c r="AG366">
        <v>3</v>
      </c>
      <c r="AH366">
        <v>0</v>
      </c>
      <c r="AI366">
        <v>9</v>
      </c>
      <c r="AJ366" t="s">
        <v>125</v>
      </c>
      <c r="AK366">
        <v>0</v>
      </c>
      <c r="AL366">
        <v>3</v>
      </c>
      <c r="AM366">
        <v>2</v>
      </c>
      <c r="AN366">
        <v>1</v>
      </c>
      <c r="AO366" t="s">
        <v>835</v>
      </c>
      <c r="AP366">
        <v>43.031495</v>
      </c>
      <c r="AQ366" t="s">
        <v>831</v>
      </c>
      <c r="AR366">
        <v>-77.565900999999997</v>
      </c>
      <c r="AS366">
        <v>25</v>
      </c>
      <c r="AT366">
        <v>1975</v>
      </c>
      <c r="AU366" t="s">
        <v>123</v>
      </c>
      <c r="AV366">
        <v>3</v>
      </c>
      <c r="AW366">
        <v>169</v>
      </c>
      <c r="AX366">
        <v>128</v>
      </c>
      <c r="AZ366">
        <f t="shared" si="56"/>
        <v>9</v>
      </c>
      <c r="BA366">
        <f t="shared" si="57"/>
        <v>28561</v>
      </c>
      <c r="BB366" s="1">
        <f t="shared" si="58"/>
        <v>169.0266251216062</v>
      </c>
      <c r="BJ366">
        <v>1404</v>
      </c>
      <c r="BK366">
        <v>1</v>
      </c>
      <c r="BL366" t="str">
        <f t="shared" si="52"/>
        <v xml:space="preserve">N600C   </v>
      </c>
      <c r="BM366">
        <v>2</v>
      </c>
      <c r="BO366">
        <v>0</v>
      </c>
      <c r="BP366">
        <v>0</v>
      </c>
      <c r="BQ366">
        <v>0</v>
      </c>
      <c r="BR366">
        <v>2150</v>
      </c>
      <c r="BS366">
        <v>175</v>
      </c>
      <c r="BT366" t="s">
        <v>128</v>
      </c>
      <c r="BU366">
        <v>0</v>
      </c>
      <c r="BV366">
        <v>0</v>
      </c>
      <c r="BW366">
        <v>0</v>
      </c>
      <c r="BX366">
        <v>1</v>
      </c>
      <c r="CA366">
        <v>0</v>
      </c>
      <c r="CB366">
        <v>0</v>
      </c>
      <c r="CC366">
        <v>0</v>
      </c>
      <c r="CM366" t="str">
        <f>"17:46:47.979"</f>
        <v>17:46:47.979</v>
      </c>
      <c r="CN366">
        <v>979449724</v>
      </c>
      <c r="CQ366">
        <v>0</v>
      </c>
      <c r="CR366">
        <v>2496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3</v>
      </c>
      <c r="DB366">
        <v>2</v>
      </c>
      <c r="DC366">
        <v>0</v>
      </c>
      <c r="DD366">
        <v>2</v>
      </c>
      <c r="DE366">
        <v>0</v>
      </c>
      <c r="DF366">
        <v>7</v>
      </c>
      <c r="DG366">
        <v>7</v>
      </c>
      <c r="DH366" t="s">
        <v>124</v>
      </c>
      <c r="DI366">
        <v>71</v>
      </c>
      <c r="DJ366">
        <v>0</v>
      </c>
      <c r="DK366" t="s">
        <v>134</v>
      </c>
      <c r="DL366" t="s">
        <v>135</v>
      </c>
      <c r="DO366">
        <v>10198711</v>
      </c>
      <c r="DQ366">
        <v>0</v>
      </c>
      <c r="DR366">
        <v>0</v>
      </c>
      <c r="DS366">
        <v>1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</row>
    <row r="367" spans="1:131" x14ac:dyDescent="0.35">
      <c r="A367" s="2" t="str">
        <f>"17:46:49.084"</f>
        <v>17:46:49.084</v>
      </c>
      <c r="B367" s="4">
        <f t="shared" si="59"/>
        <v>64009.084000000003</v>
      </c>
      <c r="C367" s="4">
        <f t="shared" si="53"/>
        <v>409.08400000000256</v>
      </c>
      <c r="D367" s="3">
        <f t="shared" si="54"/>
        <v>0.74084587962962967</v>
      </c>
      <c r="E367" s="2">
        <f t="shared" si="55"/>
        <v>0.74084587962962967</v>
      </c>
      <c r="G367" t="str">
        <f t="shared" si="50"/>
        <v>FFDFD7C0</v>
      </c>
      <c r="H367" t="s">
        <v>126</v>
      </c>
      <c r="I367">
        <v>8</v>
      </c>
      <c r="J367">
        <v>1008</v>
      </c>
      <c r="K367" t="s">
        <v>129</v>
      </c>
      <c r="N367" t="s">
        <v>127</v>
      </c>
      <c r="O367">
        <v>0</v>
      </c>
      <c r="P367">
        <v>3</v>
      </c>
      <c r="Q367">
        <v>0</v>
      </c>
      <c r="R367">
        <v>2</v>
      </c>
      <c r="S367">
        <v>1</v>
      </c>
      <c r="T367">
        <v>0</v>
      </c>
      <c r="U367">
        <v>0</v>
      </c>
      <c r="W367" t="str">
        <f>"17:46:48.867"</f>
        <v>17:46:48.867</v>
      </c>
      <c r="X367" t="str">
        <f>"17:46:48.767"</f>
        <v>17:46:48.767</v>
      </c>
      <c r="Y367" t="str">
        <f t="shared" si="51"/>
        <v>A7C771</v>
      </c>
      <c r="Z367">
        <v>0</v>
      </c>
      <c r="AA367">
        <v>0</v>
      </c>
      <c r="AB367">
        <v>2</v>
      </c>
      <c r="AC367">
        <v>0</v>
      </c>
      <c r="AE367">
        <v>0</v>
      </c>
      <c r="AF367">
        <v>8</v>
      </c>
      <c r="AG367">
        <v>3</v>
      </c>
      <c r="AH367">
        <v>0</v>
      </c>
      <c r="AI367">
        <v>9</v>
      </c>
      <c r="AJ367" t="s">
        <v>125</v>
      </c>
      <c r="AK367">
        <v>0</v>
      </c>
      <c r="AL367">
        <v>3</v>
      </c>
      <c r="AM367">
        <v>2</v>
      </c>
      <c r="AN367">
        <v>1</v>
      </c>
      <c r="AO367" t="s">
        <v>836</v>
      </c>
      <c r="AP367">
        <v>43.032203000000003</v>
      </c>
      <c r="AQ367" t="s">
        <v>837</v>
      </c>
      <c r="AR367">
        <v>-77.565837000000002</v>
      </c>
      <c r="AS367">
        <v>25</v>
      </c>
      <c r="AT367">
        <v>1975</v>
      </c>
      <c r="AU367" t="s">
        <v>123</v>
      </c>
      <c r="AV367">
        <v>3</v>
      </c>
      <c r="AW367">
        <v>169</v>
      </c>
      <c r="AX367">
        <v>64</v>
      </c>
      <c r="AZ367">
        <f t="shared" si="56"/>
        <v>9</v>
      </c>
      <c r="BA367">
        <f t="shared" si="57"/>
        <v>28561</v>
      </c>
      <c r="BB367" s="1">
        <f t="shared" si="58"/>
        <v>169.0266251216062</v>
      </c>
      <c r="BJ367">
        <v>1404</v>
      </c>
      <c r="BK367">
        <v>1</v>
      </c>
      <c r="BL367" t="str">
        <f t="shared" si="52"/>
        <v xml:space="preserve">N600C   </v>
      </c>
      <c r="BM367">
        <v>2</v>
      </c>
      <c r="BO367">
        <v>0</v>
      </c>
      <c r="BP367">
        <v>0</v>
      </c>
      <c r="BQ367">
        <v>0</v>
      </c>
      <c r="BR367">
        <v>2150</v>
      </c>
      <c r="BS367">
        <v>175</v>
      </c>
      <c r="BT367" t="s">
        <v>128</v>
      </c>
      <c r="BU367">
        <v>0</v>
      </c>
      <c r="BV367">
        <v>0</v>
      </c>
      <c r="BW367">
        <v>0</v>
      </c>
      <c r="BX367">
        <v>1</v>
      </c>
      <c r="CA367">
        <v>0</v>
      </c>
      <c r="CB367">
        <v>0</v>
      </c>
      <c r="CC367">
        <v>0</v>
      </c>
      <c r="CM367" t="str">
        <f>"17:46:48.868"</f>
        <v>17:46:48.868</v>
      </c>
      <c r="CN367">
        <v>867616747</v>
      </c>
      <c r="CQ367">
        <v>0</v>
      </c>
      <c r="CR367">
        <v>2496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3</v>
      </c>
      <c r="DB367">
        <v>2</v>
      </c>
      <c r="DC367">
        <v>0</v>
      </c>
      <c r="DD367">
        <v>2</v>
      </c>
      <c r="DE367">
        <v>0</v>
      </c>
      <c r="DF367">
        <v>7</v>
      </c>
      <c r="DG367">
        <v>7</v>
      </c>
      <c r="DH367" t="s">
        <v>124</v>
      </c>
      <c r="DI367">
        <v>71</v>
      </c>
      <c r="DJ367">
        <v>1</v>
      </c>
      <c r="DK367" t="s">
        <v>134</v>
      </c>
      <c r="DL367" t="s">
        <v>135</v>
      </c>
      <c r="DO367">
        <v>11555537</v>
      </c>
      <c r="DQ367">
        <v>0</v>
      </c>
      <c r="DR367">
        <v>0</v>
      </c>
      <c r="DS367">
        <v>1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</row>
    <row r="368" spans="1:131" x14ac:dyDescent="0.35">
      <c r="A368" s="2" t="str">
        <f>"17:46:49.928"</f>
        <v>17:46:49.928</v>
      </c>
      <c r="B368" s="4">
        <f t="shared" si="59"/>
        <v>64009.928000000007</v>
      </c>
      <c r="C368" s="4">
        <f t="shared" si="53"/>
        <v>409.92800000000716</v>
      </c>
      <c r="D368" s="3">
        <f t="shared" si="54"/>
        <v>0.74085564814814819</v>
      </c>
      <c r="E368" s="2">
        <f t="shared" si="55"/>
        <v>0.74085564814814819</v>
      </c>
      <c r="G368" t="str">
        <f t="shared" si="50"/>
        <v>FFDFD7C0</v>
      </c>
      <c r="H368" t="s">
        <v>126</v>
      </c>
      <c r="I368">
        <v>8</v>
      </c>
      <c r="J368">
        <v>1008</v>
      </c>
      <c r="K368" t="s">
        <v>129</v>
      </c>
      <c r="N368" t="s">
        <v>127</v>
      </c>
      <c r="O368">
        <v>0</v>
      </c>
      <c r="P368">
        <v>3</v>
      </c>
      <c r="Q368">
        <v>0</v>
      </c>
      <c r="R368">
        <v>2</v>
      </c>
      <c r="S368">
        <v>1</v>
      </c>
      <c r="T368">
        <v>0</v>
      </c>
      <c r="U368">
        <v>0</v>
      </c>
      <c r="W368" t="str">
        <f>"17:46:49.680"</f>
        <v>17:46:49.680</v>
      </c>
      <c r="X368" t="str">
        <f>"17:46:49.680"</f>
        <v>17:46:49.680</v>
      </c>
      <c r="Y368" t="str">
        <f t="shared" si="51"/>
        <v>A7C771</v>
      </c>
      <c r="Z368">
        <v>0</v>
      </c>
      <c r="AA368">
        <v>0</v>
      </c>
      <c r="AB368">
        <v>2</v>
      </c>
      <c r="AC368">
        <v>0</v>
      </c>
      <c r="AE368">
        <v>0</v>
      </c>
      <c r="AF368">
        <v>8</v>
      </c>
      <c r="AG368">
        <v>3</v>
      </c>
      <c r="AH368">
        <v>0</v>
      </c>
      <c r="AI368">
        <v>9</v>
      </c>
      <c r="AJ368" t="s">
        <v>125</v>
      </c>
      <c r="AK368">
        <v>0</v>
      </c>
      <c r="AL368">
        <v>3</v>
      </c>
      <c r="AM368">
        <v>2</v>
      </c>
      <c r="AN368">
        <v>1</v>
      </c>
      <c r="AO368" t="s">
        <v>838</v>
      </c>
      <c r="AP368">
        <v>43.032845999999999</v>
      </c>
      <c r="AQ368" t="s">
        <v>837</v>
      </c>
      <c r="AR368">
        <v>-77.565837000000002</v>
      </c>
      <c r="AS368">
        <v>25</v>
      </c>
      <c r="AT368">
        <v>1975</v>
      </c>
      <c r="AU368" t="s">
        <v>123</v>
      </c>
      <c r="AV368">
        <v>4</v>
      </c>
      <c r="AW368">
        <v>168</v>
      </c>
      <c r="AX368">
        <v>0</v>
      </c>
      <c r="AZ368">
        <f t="shared" si="56"/>
        <v>16</v>
      </c>
      <c r="BA368">
        <f t="shared" si="57"/>
        <v>28224</v>
      </c>
      <c r="BB368" s="1">
        <f t="shared" si="58"/>
        <v>168.04761230080004</v>
      </c>
      <c r="BJ368">
        <v>1404</v>
      </c>
      <c r="BK368">
        <v>1</v>
      </c>
      <c r="BL368" t="str">
        <f t="shared" si="52"/>
        <v xml:space="preserve">N600C   </v>
      </c>
      <c r="BM368">
        <v>2</v>
      </c>
      <c r="BO368">
        <v>0</v>
      </c>
      <c r="BP368">
        <v>0</v>
      </c>
      <c r="BQ368">
        <v>0</v>
      </c>
      <c r="BR368">
        <v>2150</v>
      </c>
      <c r="BS368">
        <v>175</v>
      </c>
      <c r="BT368" t="s">
        <v>128</v>
      </c>
      <c r="BU368">
        <v>0</v>
      </c>
      <c r="BV368">
        <v>0</v>
      </c>
      <c r="BW368">
        <v>0</v>
      </c>
      <c r="BX368">
        <v>1</v>
      </c>
      <c r="CA368">
        <v>0</v>
      </c>
      <c r="CB368">
        <v>0</v>
      </c>
      <c r="CC368">
        <v>0</v>
      </c>
      <c r="CM368" t="str">
        <f>"17:46:49.684"</f>
        <v>17:46:49.684</v>
      </c>
      <c r="CN368">
        <v>683758987</v>
      </c>
      <c r="CQ368">
        <v>0</v>
      </c>
      <c r="CR368">
        <v>2496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3</v>
      </c>
      <c r="DB368">
        <v>2</v>
      </c>
      <c r="DC368">
        <v>0</v>
      </c>
      <c r="DD368">
        <v>2</v>
      </c>
      <c r="DE368">
        <v>0</v>
      </c>
      <c r="DF368">
        <v>7</v>
      </c>
      <c r="DG368">
        <v>7</v>
      </c>
      <c r="DH368" t="s">
        <v>124</v>
      </c>
      <c r="DI368">
        <v>407</v>
      </c>
      <c r="DJ368">
        <v>3</v>
      </c>
      <c r="DK368" t="s">
        <v>132</v>
      </c>
      <c r="DL368" t="s">
        <v>133</v>
      </c>
      <c r="DO368">
        <v>1625935</v>
      </c>
      <c r="DQ368">
        <v>0</v>
      </c>
      <c r="DR368">
        <v>0</v>
      </c>
      <c r="DS368">
        <v>1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</row>
    <row r="369" spans="1:131" x14ac:dyDescent="0.35">
      <c r="A369" s="2" t="str">
        <f>"17:46:51.053"</f>
        <v>17:46:51.053</v>
      </c>
      <c r="B369" s="4">
        <f t="shared" si="59"/>
        <v>64011.053</v>
      </c>
      <c r="C369" s="4">
        <f t="shared" si="53"/>
        <v>411.05299999999988</v>
      </c>
      <c r="D369" s="3">
        <f t="shared" si="54"/>
        <v>0.74086866898148152</v>
      </c>
      <c r="E369" s="2">
        <f t="shared" si="55"/>
        <v>0.74086866898148152</v>
      </c>
      <c r="G369" t="str">
        <f t="shared" si="50"/>
        <v>FFDFD7C0</v>
      </c>
      <c r="H369" t="s">
        <v>126</v>
      </c>
      <c r="I369">
        <v>8</v>
      </c>
      <c r="J369">
        <v>1008</v>
      </c>
      <c r="K369" t="s">
        <v>129</v>
      </c>
      <c r="N369" t="s">
        <v>127</v>
      </c>
      <c r="O369">
        <v>0</v>
      </c>
      <c r="P369">
        <v>3</v>
      </c>
      <c r="Q369">
        <v>0</v>
      </c>
      <c r="R369">
        <v>2</v>
      </c>
      <c r="S369">
        <v>1</v>
      </c>
      <c r="T369">
        <v>0</v>
      </c>
      <c r="U369">
        <v>0</v>
      </c>
      <c r="W369" t="str">
        <f>"17:46:50.727"</f>
        <v>17:46:50.727</v>
      </c>
      <c r="X369" t="str">
        <f>"17:46:50.527"</f>
        <v>17:46:50.527</v>
      </c>
      <c r="Y369" t="str">
        <f t="shared" si="51"/>
        <v>A7C771</v>
      </c>
      <c r="Z369">
        <v>0</v>
      </c>
      <c r="AA369">
        <v>0</v>
      </c>
      <c r="AB369">
        <v>2</v>
      </c>
      <c r="AC369">
        <v>0</v>
      </c>
      <c r="AE369">
        <v>0</v>
      </c>
      <c r="AF369">
        <v>8</v>
      </c>
      <c r="AG369">
        <v>3</v>
      </c>
      <c r="AH369">
        <v>0</v>
      </c>
      <c r="AI369">
        <v>9</v>
      </c>
      <c r="AJ369" t="s">
        <v>125</v>
      </c>
      <c r="AK369">
        <v>0</v>
      </c>
      <c r="AL369">
        <v>3</v>
      </c>
      <c r="AM369">
        <v>2</v>
      </c>
      <c r="AN369">
        <v>1</v>
      </c>
      <c r="AO369" t="s">
        <v>839</v>
      </c>
      <c r="AP369">
        <v>43.033639999999998</v>
      </c>
      <c r="AQ369" t="s">
        <v>840</v>
      </c>
      <c r="AR369">
        <v>-77.565772999999993</v>
      </c>
      <c r="AS369">
        <v>25</v>
      </c>
      <c r="AT369">
        <v>1975</v>
      </c>
      <c r="AU369" t="s">
        <v>123</v>
      </c>
      <c r="AV369">
        <v>4</v>
      </c>
      <c r="AW369">
        <v>168</v>
      </c>
      <c r="AX369">
        <v>-64</v>
      </c>
      <c r="AZ369">
        <f t="shared" si="56"/>
        <v>16</v>
      </c>
      <c r="BA369">
        <f t="shared" si="57"/>
        <v>28224</v>
      </c>
      <c r="BB369" s="1">
        <f t="shared" si="58"/>
        <v>168.04761230080004</v>
      </c>
      <c r="BJ369">
        <v>1404</v>
      </c>
      <c r="BK369">
        <v>1</v>
      </c>
      <c r="BL369" t="str">
        <f t="shared" si="52"/>
        <v xml:space="preserve">N600C   </v>
      </c>
      <c r="BM369">
        <v>2</v>
      </c>
      <c r="BO369">
        <v>0</v>
      </c>
      <c r="BP369">
        <v>0</v>
      </c>
      <c r="BQ369">
        <v>0</v>
      </c>
      <c r="BR369">
        <v>2150</v>
      </c>
      <c r="BS369">
        <v>175</v>
      </c>
      <c r="BT369" t="s">
        <v>128</v>
      </c>
      <c r="BU369">
        <v>0</v>
      </c>
      <c r="BV369">
        <v>0</v>
      </c>
      <c r="BW369">
        <v>0</v>
      </c>
      <c r="BX369">
        <v>1</v>
      </c>
      <c r="CA369">
        <v>0</v>
      </c>
      <c r="CB369">
        <v>0</v>
      </c>
      <c r="CC369">
        <v>0</v>
      </c>
      <c r="CM369" t="str">
        <f>"17:46:50.732"</f>
        <v>17:46:50.732</v>
      </c>
      <c r="CN369">
        <v>731956614</v>
      </c>
      <c r="CQ369">
        <v>0</v>
      </c>
      <c r="CR369">
        <v>2496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3</v>
      </c>
      <c r="DB369">
        <v>2</v>
      </c>
      <c r="DC369">
        <v>0</v>
      </c>
      <c r="DD369">
        <v>2</v>
      </c>
      <c r="DE369">
        <v>0</v>
      </c>
      <c r="DF369">
        <v>7</v>
      </c>
      <c r="DG369">
        <v>7</v>
      </c>
      <c r="DH369" t="s">
        <v>124</v>
      </c>
      <c r="DI369">
        <v>71</v>
      </c>
      <c r="DJ369">
        <v>1</v>
      </c>
      <c r="DK369" t="s">
        <v>134</v>
      </c>
      <c r="DL369" t="s">
        <v>135</v>
      </c>
      <c r="DO369">
        <v>11557268</v>
      </c>
      <c r="DQ369">
        <v>0</v>
      </c>
      <c r="DR369">
        <v>0</v>
      </c>
      <c r="DS369">
        <v>1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</row>
    <row r="370" spans="1:131" x14ac:dyDescent="0.35">
      <c r="A370" s="2" t="str">
        <f>"17:46:52.100"</f>
        <v>17:46:52.100</v>
      </c>
      <c r="B370" s="4">
        <f t="shared" si="59"/>
        <v>64012.099999999991</v>
      </c>
      <c r="C370" s="4">
        <f t="shared" si="53"/>
        <v>412.09999999999127</v>
      </c>
      <c r="D370" s="3">
        <f t="shared" si="54"/>
        <v>0.74088078703703697</v>
      </c>
      <c r="E370" s="2">
        <f t="shared" si="55"/>
        <v>0.74088078703703697</v>
      </c>
      <c r="G370" t="str">
        <f t="shared" si="50"/>
        <v>FFDFD7C0</v>
      </c>
      <c r="H370" t="s">
        <v>126</v>
      </c>
      <c r="I370">
        <v>8</v>
      </c>
      <c r="J370">
        <v>1008</v>
      </c>
      <c r="K370" t="s">
        <v>129</v>
      </c>
      <c r="N370" t="s">
        <v>127</v>
      </c>
      <c r="O370">
        <v>0</v>
      </c>
      <c r="P370">
        <v>3</v>
      </c>
      <c r="Q370">
        <v>0</v>
      </c>
      <c r="R370">
        <v>2</v>
      </c>
      <c r="S370">
        <v>1</v>
      </c>
      <c r="T370">
        <v>0</v>
      </c>
      <c r="U370">
        <v>0</v>
      </c>
      <c r="W370" t="str">
        <f>"17:46:51.758"</f>
        <v>17:46:51.758</v>
      </c>
      <c r="X370" t="str">
        <f>"17:46:51.558"</f>
        <v>17:46:51.558</v>
      </c>
      <c r="Y370" t="str">
        <f t="shared" si="51"/>
        <v>A7C771</v>
      </c>
      <c r="Z370">
        <v>0</v>
      </c>
      <c r="AA370">
        <v>0</v>
      </c>
      <c r="AB370">
        <v>2</v>
      </c>
      <c r="AC370">
        <v>0</v>
      </c>
      <c r="AE370">
        <v>0</v>
      </c>
      <c r="AF370">
        <v>8</v>
      </c>
      <c r="AG370">
        <v>3</v>
      </c>
      <c r="AH370">
        <v>0</v>
      </c>
      <c r="AI370">
        <v>9</v>
      </c>
      <c r="AJ370" t="s">
        <v>125</v>
      </c>
      <c r="AK370">
        <v>0</v>
      </c>
      <c r="AL370">
        <v>3</v>
      </c>
      <c r="AM370">
        <v>2</v>
      </c>
      <c r="AN370">
        <v>1</v>
      </c>
      <c r="AO370" t="s">
        <v>841</v>
      </c>
      <c r="AP370">
        <v>43.034477000000003</v>
      </c>
      <c r="AQ370" t="s">
        <v>840</v>
      </c>
      <c r="AR370">
        <v>-77.565772999999993</v>
      </c>
      <c r="AS370">
        <v>25</v>
      </c>
      <c r="AT370">
        <v>1975</v>
      </c>
      <c r="AU370" t="s">
        <v>123</v>
      </c>
      <c r="AV370">
        <v>3</v>
      </c>
      <c r="AW370">
        <v>168</v>
      </c>
      <c r="AX370">
        <v>0</v>
      </c>
      <c r="AZ370">
        <f t="shared" si="56"/>
        <v>9</v>
      </c>
      <c r="BA370">
        <f t="shared" si="57"/>
        <v>28224</v>
      </c>
      <c r="BB370" s="1">
        <f t="shared" si="58"/>
        <v>168.02678357928536</v>
      </c>
      <c r="BJ370">
        <v>1404</v>
      </c>
      <c r="BK370">
        <v>1</v>
      </c>
      <c r="BL370" t="str">
        <f t="shared" si="52"/>
        <v xml:space="preserve">N600C   </v>
      </c>
      <c r="BM370">
        <v>2</v>
      </c>
      <c r="BO370">
        <v>0</v>
      </c>
      <c r="BP370">
        <v>0</v>
      </c>
      <c r="BQ370">
        <v>0</v>
      </c>
      <c r="BR370">
        <v>2150</v>
      </c>
      <c r="BS370">
        <v>175</v>
      </c>
      <c r="BT370" t="s">
        <v>128</v>
      </c>
      <c r="BU370">
        <v>0</v>
      </c>
      <c r="BV370">
        <v>0</v>
      </c>
      <c r="BW370">
        <v>0</v>
      </c>
      <c r="BX370">
        <v>1</v>
      </c>
      <c r="CA370">
        <v>0</v>
      </c>
      <c r="CB370">
        <v>0</v>
      </c>
      <c r="CC370">
        <v>0</v>
      </c>
      <c r="CM370" t="str">
        <f>"17:46:51.764"</f>
        <v>17:46:51.764</v>
      </c>
      <c r="CN370">
        <v>764148598</v>
      </c>
      <c r="CQ370">
        <v>0</v>
      </c>
      <c r="CR370">
        <v>2496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3</v>
      </c>
      <c r="DB370">
        <v>2</v>
      </c>
      <c r="DC370">
        <v>0</v>
      </c>
      <c r="DD370">
        <v>2</v>
      </c>
      <c r="DE370">
        <v>0</v>
      </c>
      <c r="DF370">
        <v>7</v>
      </c>
      <c r="DG370">
        <v>7</v>
      </c>
      <c r="DH370" t="s">
        <v>124</v>
      </c>
      <c r="DI370">
        <v>71</v>
      </c>
      <c r="DJ370">
        <v>1</v>
      </c>
      <c r="DK370" t="s">
        <v>134</v>
      </c>
      <c r="DL370" t="s">
        <v>135</v>
      </c>
      <c r="DO370">
        <v>11558150</v>
      </c>
      <c r="DQ370">
        <v>0</v>
      </c>
      <c r="DR370">
        <v>0</v>
      </c>
      <c r="DS370">
        <v>1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</row>
    <row r="371" spans="1:131" x14ac:dyDescent="0.35">
      <c r="A371" s="2" t="str">
        <f>"17:46:53.006"</f>
        <v>17:46:53.006</v>
      </c>
      <c r="B371" s="4">
        <f t="shared" si="59"/>
        <v>64013.006000000001</v>
      </c>
      <c r="C371" s="4">
        <f t="shared" si="53"/>
        <v>413.00600000000122</v>
      </c>
      <c r="D371" s="3">
        <f t="shared" si="54"/>
        <v>0.74089127314814818</v>
      </c>
      <c r="E371" s="2">
        <f t="shared" si="55"/>
        <v>0.74089127314814818</v>
      </c>
      <c r="G371" t="str">
        <f t="shared" si="50"/>
        <v>FFDFD7C0</v>
      </c>
      <c r="H371" t="s">
        <v>126</v>
      </c>
      <c r="I371">
        <v>8</v>
      </c>
      <c r="J371">
        <v>1008</v>
      </c>
      <c r="K371" t="s">
        <v>129</v>
      </c>
      <c r="N371" t="s">
        <v>127</v>
      </c>
      <c r="O371">
        <v>0</v>
      </c>
      <c r="P371">
        <v>3</v>
      </c>
      <c r="Q371">
        <v>0</v>
      </c>
      <c r="R371">
        <v>2</v>
      </c>
      <c r="S371">
        <v>1</v>
      </c>
      <c r="T371">
        <v>0</v>
      </c>
      <c r="U371">
        <v>0</v>
      </c>
      <c r="W371" t="str">
        <f>"17:46:52.648"</f>
        <v>17:46:52.648</v>
      </c>
      <c r="X371" t="str">
        <f>"17:46:52.548"</f>
        <v>17:46:52.548</v>
      </c>
      <c r="Y371" t="str">
        <f t="shared" si="51"/>
        <v>A7C771</v>
      </c>
      <c r="Z371">
        <v>0</v>
      </c>
      <c r="AA371">
        <v>0</v>
      </c>
      <c r="AB371">
        <v>2</v>
      </c>
      <c r="AC371">
        <v>0</v>
      </c>
      <c r="AE371">
        <v>0</v>
      </c>
      <c r="AF371">
        <v>8</v>
      </c>
      <c r="AG371">
        <v>3</v>
      </c>
      <c r="AH371">
        <v>0</v>
      </c>
      <c r="AI371">
        <v>9</v>
      </c>
      <c r="AJ371" t="s">
        <v>125</v>
      </c>
      <c r="AK371">
        <v>0</v>
      </c>
      <c r="AL371">
        <v>3</v>
      </c>
      <c r="AM371">
        <v>2</v>
      </c>
      <c r="AN371">
        <v>1</v>
      </c>
      <c r="AO371" t="s">
        <v>842</v>
      </c>
      <c r="AP371">
        <v>43.035077999999999</v>
      </c>
      <c r="AQ371" t="s">
        <v>840</v>
      </c>
      <c r="AR371">
        <v>-77.565772999999993</v>
      </c>
      <c r="AS371">
        <v>25</v>
      </c>
      <c r="AT371">
        <v>1975</v>
      </c>
      <c r="AU371" t="s">
        <v>123</v>
      </c>
      <c r="AV371">
        <v>3</v>
      </c>
      <c r="AW371">
        <v>168</v>
      </c>
      <c r="AX371">
        <v>-128</v>
      </c>
      <c r="AZ371">
        <f t="shared" si="56"/>
        <v>9</v>
      </c>
      <c r="BA371">
        <f t="shared" si="57"/>
        <v>28224</v>
      </c>
      <c r="BB371" s="1">
        <f t="shared" si="58"/>
        <v>168.02678357928536</v>
      </c>
      <c r="BJ371">
        <v>1404</v>
      </c>
      <c r="BK371">
        <v>1</v>
      </c>
      <c r="BL371" t="str">
        <f t="shared" si="52"/>
        <v xml:space="preserve">N600C   </v>
      </c>
      <c r="BM371">
        <v>2</v>
      </c>
      <c r="BO371">
        <v>0</v>
      </c>
      <c r="BP371">
        <v>0</v>
      </c>
      <c r="BQ371">
        <v>0</v>
      </c>
      <c r="BR371">
        <v>2150</v>
      </c>
      <c r="BS371">
        <v>175</v>
      </c>
      <c r="BT371" t="s">
        <v>128</v>
      </c>
      <c r="BU371">
        <v>0</v>
      </c>
      <c r="BV371">
        <v>0</v>
      </c>
      <c r="BW371">
        <v>0</v>
      </c>
      <c r="BX371">
        <v>1</v>
      </c>
      <c r="CA371">
        <v>0</v>
      </c>
      <c r="CB371">
        <v>0</v>
      </c>
      <c r="CC371">
        <v>0</v>
      </c>
      <c r="CM371" t="str">
        <f>"17:46:52.652"</f>
        <v>17:46:52.652</v>
      </c>
      <c r="CN371">
        <v>652315760</v>
      </c>
      <c r="CQ371">
        <v>0</v>
      </c>
      <c r="CR371">
        <v>2496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3</v>
      </c>
      <c r="DB371">
        <v>2</v>
      </c>
      <c r="DC371">
        <v>0</v>
      </c>
      <c r="DD371">
        <v>2</v>
      </c>
      <c r="DE371">
        <v>0</v>
      </c>
      <c r="DF371">
        <v>7</v>
      </c>
      <c r="DG371">
        <v>7</v>
      </c>
      <c r="DH371" t="s">
        <v>124</v>
      </c>
      <c r="DI371">
        <v>71</v>
      </c>
      <c r="DJ371">
        <v>1</v>
      </c>
      <c r="DK371" t="s">
        <v>134</v>
      </c>
      <c r="DL371" t="s">
        <v>135</v>
      </c>
      <c r="DO371">
        <v>11558831</v>
      </c>
      <c r="DQ371">
        <v>0</v>
      </c>
      <c r="DR371">
        <v>0</v>
      </c>
      <c r="DS371">
        <v>1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</row>
    <row r="372" spans="1:131" x14ac:dyDescent="0.35">
      <c r="A372" s="2" t="str">
        <f>"17:46:53.913"</f>
        <v>17:46:53.913</v>
      </c>
      <c r="B372" s="4">
        <f t="shared" si="59"/>
        <v>64013.913</v>
      </c>
      <c r="C372" s="4">
        <f t="shared" si="53"/>
        <v>413.91300000000047</v>
      </c>
      <c r="D372" s="3">
        <f t="shared" si="54"/>
        <v>0.74090177083333331</v>
      </c>
      <c r="E372" s="2">
        <f t="shared" si="55"/>
        <v>0.74090177083333331</v>
      </c>
      <c r="G372" t="str">
        <f t="shared" si="50"/>
        <v>FFDFD7C0</v>
      </c>
      <c r="H372" t="s">
        <v>126</v>
      </c>
      <c r="I372">
        <v>8</v>
      </c>
      <c r="J372">
        <v>1008</v>
      </c>
      <c r="K372" t="s">
        <v>129</v>
      </c>
      <c r="N372" t="s">
        <v>127</v>
      </c>
      <c r="O372">
        <v>0</v>
      </c>
      <c r="P372">
        <v>3</v>
      </c>
      <c r="Q372">
        <v>0</v>
      </c>
      <c r="R372">
        <v>2</v>
      </c>
      <c r="S372">
        <v>1</v>
      </c>
      <c r="T372">
        <v>0</v>
      </c>
      <c r="U372">
        <v>0</v>
      </c>
      <c r="W372" t="str">
        <f>"17:46:53.648"</f>
        <v>17:46:53.648</v>
      </c>
      <c r="X372" t="str">
        <f>"17:46:53.548"</f>
        <v>17:46:53.548</v>
      </c>
      <c r="Y372" t="str">
        <f t="shared" si="51"/>
        <v>A7C771</v>
      </c>
      <c r="Z372">
        <v>0</v>
      </c>
      <c r="AA372">
        <v>0</v>
      </c>
      <c r="AB372">
        <v>2</v>
      </c>
      <c r="AC372">
        <v>0</v>
      </c>
      <c r="AE372">
        <v>0</v>
      </c>
      <c r="AF372">
        <v>8</v>
      </c>
      <c r="AG372">
        <v>3</v>
      </c>
      <c r="AH372">
        <v>0</v>
      </c>
      <c r="AI372">
        <v>9</v>
      </c>
      <c r="AJ372" t="s">
        <v>125</v>
      </c>
      <c r="AK372">
        <v>0</v>
      </c>
      <c r="AL372">
        <v>3</v>
      </c>
      <c r="AM372">
        <v>2</v>
      </c>
      <c r="AN372">
        <v>1</v>
      </c>
      <c r="AO372" t="s">
        <v>843</v>
      </c>
      <c r="AP372">
        <v>43.035871999999998</v>
      </c>
      <c r="AQ372" t="s">
        <v>840</v>
      </c>
      <c r="AR372">
        <v>-77.565772999999993</v>
      </c>
      <c r="AS372">
        <v>25</v>
      </c>
      <c r="AT372">
        <v>1975</v>
      </c>
      <c r="AU372" t="s">
        <v>123</v>
      </c>
      <c r="AV372">
        <v>3</v>
      </c>
      <c r="AW372">
        <v>168</v>
      </c>
      <c r="AX372">
        <v>-320</v>
      </c>
      <c r="AZ372">
        <f t="shared" si="56"/>
        <v>9</v>
      </c>
      <c r="BA372">
        <f t="shared" si="57"/>
        <v>28224</v>
      </c>
      <c r="BB372" s="1">
        <f t="shared" si="58"/>
        <v>168.02678357928536</v>
      </c>
      <c r="BJ372">
        <v>1404</v>
      </c>
      <c r="BK372">
        <v>1</v>
      </c>
      <c r="BL372" t="str">
        <f t="shared" si="52"/>
        <v xml:space="preserve">N600C   </v>
      </c>
      <c r="BM372">
        <v>2</v>
      </c>
      <c r="BO372">
        <v>0</v>
      </c>
      <c r="BP372">
        <v>0</v>
      </c>
      <c r="BQ372">
        <v>0</v>
      </c>
      <c r="BR372">
        <v>2150</v>
      </c>
      <c r="BS372">
        <v>175</v>
      </c>
      <c r="BT372" t="s">
        <v>128</v>
      </c>
      <c r="BU372">
        <v>0</v>
      </c>
      <c r="BV372">
        <v>0</v>
      </c>
      <c r="BW372">
        <v>0</v>
      </c>
      <c r="BX372">
        <v>1</v>
      </c>
      <c r="CA372">
        <v>0</v>
      </c>
      <c r="CB372">
        <v>0</v>
      </c>
      <c r="CC372">
        <v>0</v>
      </c>
      <c r="CM372" t="str">
        <f>"17:46:53.652"</f>
        <v>17:46:53.652</v>
      </c>
      <c r="CN372">
        <v>652496440</v>
      </c>
      <c r="CQ372">
        <v>0</v>
      </c>
      <c r="CR372">
        <v>2496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3</v>
      </c>
      <c r="DB372">
        <v>2</v>
      </c>
      <c r="DC372">
        <v>0</v>
      </c>
      <c r="DD372">
        <v>2</v>
      </c>
      <c r="DE372">
        <v>0</v>
      </c>
      <c r="DF372">
        <v>7</v>
      </c>
      <c r="DG372">
        <v>7</v>
      </c>
      <c r="DH372" t="s">
        <v>124</v>
      </c>
      <c r="DI372">
        <v>71</v>
      </c>
      <c r="DJ372">
        <v>1</v>
      </c>
      <c r="DK372" t="s">
        <v>134</v>
      </c>
      <c r="DL372" t="s">
        <v>135</v>
      </c>
      <c r="DO372">
        <v>11559668</v>
      </c>
      <c r="DQ372">
        <v>0</v>
      </c>
      <c r="DR372">
        <v>0</v>
      </c>
      <c r="DS372">
        <v>1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</row>
    <row r="373" spans="1:131" x14ac:dyDescent="0.35">
      <c r="A373" s="2" t="str">
        <f>"17:46:54.897"</f>
        <v>17:46:54.897</v>
      </c>
      <c r="B373" s="4">
        <f t="shared" si="59"/>
        <v>64014.896999999997</v>
      </c>
      <c r="C373" s="4">
        <f t="shared" si="53"/>
        <v>414.89699999999721</v>
      </c>
      <c r="D373" s="3">
        <f t="shared" si="54"/>
        <v>0.74091315972222216</v>
      </c>
      <c r="E373" s="2">
        <f t="shared" si="55"/>
        <v>0.74091315972222216</v>
      </c>
      <c r="G373" t="str">
        <f t="shared" si="50"/>
        <v>FFDFD7C0</v>
      </c>
      <c r="H373" t="s">
        <v>126</v>
      </c>
      <c r="I373">
        <v>8</v>
      </c>
      <c r="J373">
        <v>1008</v>
      </c>
      <c r="K373" t="s">
        <v>129</v>
      </c>
      <c r="N373" t="s">
        <v>127</v>
      </c>
      <c r="O373">
        <v>0</v>
      </c>
      <c r="P373">
        <v>3</v>
      </c>
      <c r="Q373">
        <v>0</v>
      </c>
      <c r="R373">
        <v>2</v>
      </c>
      <c r="S373">
        <v>1</v>
      </c>
      <c r="T373">
        <v>0</v>
      </c>
      <c r="U373">
        <v>0</v>
      </c>
      <c r="W373" t="str">
        <f>"17:46:54.641"</f>
        <v>17:46:54.641</v>
      </c>
      <c r="X373" t="str">
        <f>"17:46:54.541"</f>
        <v>17:46:54.541</v>
      </c>
      <c r="Y373" t="str">
        <f t="shared" si="51"/>
        <v>A7C771</v>
      </c>
      <c r="Z373">
        <v>0</v>
      </c>
      <c r="AA373">
        <v>0</v>
      </c>
      <c r="AB373">
        <v>2</v>
      </c>
      <c r="AC373">
        <v>0</v>
      </c>
      <c r="AE373">
        <v>0</v>
      </c>
      <c r="AF373">
        <v>8</v>
      </c>
      <c r="AG373">
        <v>3</v>
      </c>
      <c r="AH373">
        <v>0</v>
      </c>
      <c r="AI373">
        <v>9</v>
      </c>
      <c r="AJ373" t="s">
        <v>125</v>
      </c>
      <c r="AK373">
        <v>0</v>
      </c>
      <c r="AL373">
        <v>3</v>
      </c>
      <c r="AM373">
        <v>2</v>
      </c>
      <c r="AN373">
        <v>1</v>
      </c>
      <c r="AO373" t="s">
        <v>844</v>
      </c>
      <c r="AP373">
        <v>43.036665999999997</v>
      </c>
      <c r="AQ373" t="s">
        <v>845</v>
      </c>
      <c r="AR373">
        <v>-77.565708000000001</v>
      </c>
      <c r="AS373">
        <v>25</v>
      </c>
      <c r="AT373">
        <v>1975</v>
      </c>
      <c r="AU373" t="s">
        <v>123</v>
      </c>
      <c r="AV373">
        <v>3</v>
      </c>
      <c r="AW373">
        <v>168</v>
      </c>
      <c r="AX373">
        <v>-384</v>
      </c>
      <c r="AZ373">
        <f t="shared" si="56"/>
        <v>9</v>
      </c>
      <c r="BA373">
        <f t="shared" si="57"/>
        <v>28224</v>
      </c>
      <c r="BB373" s="1">
        <f t="shared" si="58"/>
        <v>168.02678357928536</v>
      </c>
      <c r="BJ373">
        <v>1404</v>
      </c>
      <c r="BK373">
        <v>1</v>
      </c>
      <c r="BL373" t="str">
        <f t="shared" si="52"/>
        <v xml:space="preserve">N600C   </v>
      </c>
      <c r="BM373">
        <v>2</v>
      </c>
      <c r="BO373">
        <v>0</v>
      </c>
      <c r="BP373">
        <v>0</v>
      </c>
      <c r="BQ373">
        <v>0</v>
      </c>
      <c r="BR373">
        <v>2150</v>
      </c>
      <c r="BS373">
        <v>175</v>
      </c>
      <c r="BT373" t="s">
        <v>128</v>
      </c>
      <c r="BU373">
        <v>0</v>
      </c>
      <c r="BV373">
        <v>0</v>
      </c>
      <c r="BW373">
        <v>0</v>
      </c>
      <c r="BX373">
        <v>1</v>
      </c>
      <c r="CA373">
        <v>0</v>
      </c>
      <c r="CB373">
        <v>0</v>
      </c>
      <c r="CC373">
        <v>0</v>
      </c>
      <c r="CM373" t="str">
        <f>"17:46:54.645"</f>
        <v>17:46:54.645</v>
      </c>
      <c r="CN373">
        <v>644680445</v>
      </c>
      <c r="CQ373">
        <v>0</v>
      </c>
      <c r="CR373">
        <v>2496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3</v>
      </c>
      <c r="DB373">
        <v>2</v>
      </c>
      <c r="DC373">
        <v>0</v>
      </c>
      <c r="DD373">
        <v>2</v>
      </c>
      <c r="DE373">
        <v>0</v>
      </c>
      <c r="DF373">
        <v>7</v>
      </c>
      <c r="DG373">
        <v>7</v>
      </c>
      <c r="DH373" t="s">
        <v>124</v>
      </c>
      <c r="DI373">
        <v>71</v>
      </c>
      <c r="DJ373">
        <v>1</v>
      </c>
      <c r="DK373" t="s">
        <v>134</v>
      </c>
      <c r="DL373" t="s">
        <v>135</v>
      </c>
      <c r="DO373">
        <v>11560604</v>
      </c>
      <c r="DQ373">
        <v>0</v>
      </c>
      <c r="DR373">
        <v>0</v>
      </c>
      <c r="DS373">
        <v>1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</row>
    <row r="374" spans="1:131" x14ac:dyDescent="0.35">
      <c r="A374" s="2" t="str">
        <f>"17:46:56.038"</f>
        <v>17:46:56.038</v>
      </c>
      <c r="B374" s="4">
        <f t="shared" si="59"/>
        <v>64016.038</v>
      </c>
      <c r="C374" s="4">
        <f t="shared" si="53"/>
        <v>416.03800000000047</v>
      </c>
      <c r="D374" s="3">
        <f t="shared" si="54"/>
        <v>0.74092636574074078</v>
      </c>
      <c r="E374" s="2">
        <f t="shared" si="55"/>
        <v>0.74092636574074078</v>
      </c>
      <c r="G374" t="str">
        <f t="shared" si="50"/>
        <v>FFDFD7C0</v>
      </c>
      <c r="H374" t="s">
        <v>126</v>
      </c>
      <c r="I374">
        <v>8</v>
      </c>
      <c r="J374">
        <v>1008</v>
      </c>
      <c r="K374" t="s">
        <v>129</v>
      </c>
      <c r="N374" t="s">
        <v>127</v>
      </c>
      <c r="O374">
        <v>0</v>
      </c>
      <c r="P374">
        <v>3</v>
      </c>
      <c r="Q374">
        <v>0</v>
      </c>
      <c r="R374">
        <v>2</v>
      </c>
      <c r="S374">
        <v>1</v>
      </c>
      <c r="T374">
        <v>0</v>
      </c>
      <c r="U374">
        <v>0</v>
      </c>
      <c r="W374" t="str">
        <f>"17:46:55.781"</f>
        <v>17:46:55.781</v>
      </c>
      <c r="X374" t="str">
        <f>"17:46:55.481"</f>
        <v>17:46:55.481</v>
      </c>
      <c r="Y374" t="str">
        <f t="shared" si="51"/>
        <v>A7C771</v>
      </c>
      <c r="Z374">
        <v>0</v>
      </c>
      <c r="AA374">
        <v>0</v>
      </c>
      <c r="AB374">
        <v>2</v>
      </c>
      <c r="AC374">
        <v>0</v>
      </c>
      <c r="AE374">
        <v>0</v>
      </c>
      <c r="AF374">
        <v>8</v>
      </c>
      <c r="AG374">
        <v>3</v>
      </c>
      <c r="AH374">
        <v>0</v>
      </c>
      <c r="AI374">
        <v>9</v>
      </c>
      <c r="AJ374" t="s">
        <v>125</v>
      </c>
      <c r="AK374">
        <v>0</v>
      </c>
      <c r="AL374">
        <v>3</v>
      </c>
      <c r="AM374">
        <v>2</v>
      </c>
      <c r="AN374">
        <v>1</v>
      </c>
      <c r="AO374" t="s">
        <v>846</v>
      </c>
      <c r="AP374">
        <v>43.037588999999997</v>
      </c>
      <c r="AQ374" t="s">
        <v>845</v>
      </c>
      <c r="AR374">
        <v>-77.565708000000001</v>
      </c>
      <c r="AS374">
        <v>25</v>
      </c>
      <c r="AT374">
        <v>1950</v>
      </c>
      <c r="AU374" t="s">
        <v>123</v>
      </c>
      <c r="AV374">
        <v>3</v>
      </c>
      <c r="AW374">
        <v>168</v>
      </c>
      <c r="AX374">
        <v>-384</v>
      </c>
      <c r="AZ374">
        <f t="shared" si="56"/>
        <v>9</v>
      </c>
      <c r="BA374">
        <f t="shared" si="57"/>
        <v>28224</v>
      </c>
      <c r="BB374" s="1">
        <f t="shared" si="58"/>
        <v>168.02678357928536</v>
      </c>
      <c r="BJ374">
        <v>1404</v>
      </c>
      <c r="BK374">
        <v>1</v>
      </c>
      <c r="BL374" t="str">
        <f t="shared" si="52"/>
        <v xml:space="preserve">N600C   </v>
      </c>
      <c r="BM374">
        <v>2</v>
      </c>
      <c r="BO374">
        <v>0</v>
      </c>
      <c r="BP374">
        <v>0</v>
      </c>
      <c r="BQ374">
        <v>0</v>
      </c>
      <c r="BR374">
        <v>2125</v>
      </c>
      <c r="BS374">
        <v>175</v>
      </c>
      <c r="BT374" t="s">
        <v>128</v>
      </c>
      <c r="BU374">
        <v>0</v>
      </c>
      <c r="BV374">
        <v>0</v>
      </c>
      <c r="BW374">
        <v>0</v>
      </c>
      <c r="BX374">
        <v>1</v>
      </c>
      <c r="CA374">
        <v>0</v>
      </c>
      <c r="CB374">
        <v>0</v>
      </c>
      <c r="CC374">
        <v>0</v>
      </c>
      <c r="CM374" t="str">
        <f>"17:46:55.789"</f>
        <v>17:46:55.789</v>
      </c>
      <c r="CN374">
        <v>788898275</v>
      </c>
      <c r="CQ374">
        <v>0</v>
      </c>
      <c r="CR374">
        <v>2496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3</v>
      </c>
      <c r="DB374">
        <v>2</v>
      </c>
      <c r="DC374">
        <v>0</v>
      </c>
      <c r="DD374">
        <v>2</v>
      </c>
      <c r="DE374">
        <v>0</v>
      </c>
      <c r="DF374">
        <v>7</v>
      </c>
      <c r="DG374">
        <v>7</v>
      </c>
      <c r="DH374" t="s">
        <v>124</v>
      </c>
      <c r="DI374">
        <v>71</v>
      </c>
      <c r="DJ374">
        <v>1</v>
      </c>
      <c r="DK374" t="s">
        <v>134</v>
      </c>
      <c r="DL374" t="s">
        <v>135</v>
      </c>
      <c r="DO374">
        <v>11561581</v>
      </c>
      <c r="DQ374">
        <v>0</v>
      </c>
      <c r="DR374">
        <v>0</v>
      </c>
      <c r="DS374">
        <v>1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</row>
    <row r="375" spans="1:131" x14ac:dyDescent="0.35">
      <c r="A375" s="2" t="str">
        <f>"17:46:56.944"</f>
        <v>17:46:56.944</v>
      </c>
      <c r="B375" s="4">
        <f t="shared" si="59"/>
        <v>64016.944000000003</v>
      </c>
      <c r="C375" s="4">
        <f t="shared" si="53"/>
        <v>416.94400000000314</v>
      </c>
      <c r="D375" s="3">
        <f t="shared" si="54"/>
        <v>0.74093685185185187</v>
      </c>
      <c r="E375" s="2">
        <f t="shared" si="55"/>
        <v>0.74093685185185187</v>
      </c>
      <c r="G375" t="str">
        <f t="shared" si="50"/>
        <v>FFDFD7C0</v>
      </c>
      <c r="H375" t="s">
        <v>126</v>
      </c>
      <c r="I375">
        <v>8</v>
      </c>
      <c r="J375">
        <v>1008</v>
      </c>
      <c r="K375" t="s">
        <v>129</v>
      </c>
      <c r="N375" t="s">
        <v>127</v>
      </c>
      <c r="O375">
        <v>0</v>
      </c>
      <c r="P375">
        <v>3</v>
      </c>
      <c r="Q375">
        <v>0</v>
      </c>
      <c r="R375">
        <v>2</v>
      </c>
      <c r="S375">
        <v>1</v>
      </c>
      <c r="T375">
        <v>0</v>
      </c>
      <c r="U375">
        <v>0</v>
      </c>
      <c r="W375" t="str">
        <f>"17:46:56.680"</f>
        <v>17:46:56.680</v>
      </c>
      <c r="X375" t="str">
        <f>"17:46:56.480"</f>
        <v>17:46:56.480</v>
      </c>
      <c r="Y375" t="str">
        <f t="shared" si="51"/>
        <v>A7C771</v>
      </c>
      <c r="Z375">
        <v>0</v>
      </c>
      <c r="AA375">
        <v>0</v>
      </c>
      <c r="AB375">
        <v>2</v>
      </c>
      <c r="AC375">
        <v>0</v>
      </c>
      <c r="AE375">
        <v>0</v>
      </c>
      <c r="AF375">
        <v>8</v>
      </c>
      <c r="AG375">
        <v>3</v>
      </c>
      <c r="AH375">
        <v>0</v>
      </c>
      <c r="AI375">
        <v>9</v>
      </c>
      <c r="AJ375" t="s">
        <v>125</v>
      </c>
      <c r="AK375">
        <v>0</v>
      </c>
      <c r="AL375">
        <v>3</v>
      </c>
      <c r="AM375">
        <v>2</v>
      </c>
      <c r="AN375">
        <v>1</v>
      </c>
      <c r="AO375" t="s">
        <v>847</v>
      </c>
      <c r="AP375">
        <v>43.038297</v>
      </c>
      <c r="AQ375" t="s">
        <v>845</v>
      </c>
      <c r="AR375">
        <v>-77.565708000000001</v>
      </c>
      <c r="AS375">
        <v>25</v>
      </c>
      <c r="AT375">
        <v>1950</v>
      </c>
      <c r="AU375" t="s">
        <v>123</v>
      </c>
      <c r="AV375">
        <v>3</v>
      </c>
      <c r="AW375">
        <v>169</v>
      </c>
      <c r="AX375">
        <v>-512</v>
      </c>
      <c r="AZ375">
        <f t="shared" si="56"/>
        <v>9</v>
      </c>
      <c r="BA375">
        <f t="shared" si="57"/>
        <v>28561</v>
      </c>
      <c r="BB375" s="1">
        <f t="shared" si="58"/>
        <v>169.0266251216062</v>
      </c>
      <c r="BJ375">
        <v>1404</v>
      </c>
      <c r="BK375">
        <v>1</v>
      </c>
      <c r="BL375" t="str">
        <f t="shared" si="52"/>
        <v xml:space="preserve">N600C   </v>
      </c>
      <c r="BM375">
        <v>2</v>
      </c>
      <c r="BO375">
        <v>0</v>
      </c>
      <c r="BP375">
        <v>0</v>
      </c>
      <c r="BQ375">
        <v>0</v>
      </c>
      <c r="BR375">
        <v>2125</v>
      </c>
      <c r="BS375">
        <v>175</v>
      </c>
      <c r="BT375" t="s">
        <v>128</v>
      </c>
      <c r="BU375">
        <v>0</v>
      </c>
      <c r="BV375">
        <v>0</v>
      </c>
      <c r="BW375">
        <v>0</v>
      </c>
      <c r="BX375">
        <v>1</v>
      </c>
      <c r="CA375">
        <v>0</v>
      </c>
      <c r="CB375">
        <v>0</v>
      </c>
      <c r="CC375">
        <v>0</v>
      </c>
      <c r="CM375" t="str">
        <f>"17:46:56.685"</f>
        <v>17:46:56.685</v>
      </c>
      <c r="CN375">
        <v>685081465</v>
      </c>
      <c r="CQ375">
        <v>0</v>
      </c>
      <c r="CR375">
        <v>2496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3</v>
      </c>
      <c r="DB375">
        <v>2</v>
      </c>
      <c r="DC375">
        <v>0</v>
      </c>
      <c r="DD375">
        <v>2</v>
      </c>
      <c r="DE375">
        <v>0</v>
      </c>
      <c r="DF375">
        <v>7</v>
      </c>
      <c r="DG375">
        <v>7</v>
      </c>
      <c r="DH375" t="s">
        <v>124</v>
      </c>
      <c r="DI375">
        <v>71</v>
      </c>
      <c r="DJ375">
        <v>1</v>
      </c>
      <c r="DK375" t="s">
        <v>134</v>
      </c>
      <c r="DL375" t="s">
        <v>135</v>
      </c>
      <c r="DO375">
        <v>11562372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</row>
    <row r="376" spans="1:131" x14ac:dyDescent="0.35">
      <c r="A376" s="2" t="str">
        <f>"17:46:58.023"</f>
        <v>17:46:58.023</v>
      </c>
      <c r="B376" s="4">
        <f t="shared" si="59"/>
        <v>64018.023000000001</v>
      </c>
      <c r="C376" s="4">
        <f t="shared" si="53"/>
        <v>418.02300000000105</v>
      </c>
      <c r="D376" s="3">
        <f t="shared" si="54"/>
        <v>0.74094934027777781</v>
      </c>
      <c r="E376" s="2">
        <f t="shared" si="55"/>
        <v>0.74094934027777781</v>
      </c>
      <c r="G376" t="str">
        <f t="shared" si="50"/>
        <v>FFDFD7C0</v>
      </c>
      <c r="H376" t="s">
        <v>126</v>
      </c>
      <c r="I376">
        <v>8</v>
      </c>
      <c r="J376">
        <v>1008</v>
      </c>
      <c r="K376" t="s">
        <v>129</v>
      </c>
      <c r="N376" t="s">
        <v>127</v>
      </c>
      <c r="O376">
        <v>0</v>
      </c>
      <c r="P376">
        <v>3</v>
      </c>
      <c r="Q376">
        <v>0</v>
      </c>
      <c r="R376">
        <v>2</v>
      </c>
      <c r="S376">
        <v>1</v>
      </c>
      <c r="T376">
        <v>0</v>
      </c>
      <c r="U376">
        <v>0</v>
      </c>
      <c r="W376" t="str">
        <f>"17:46:57.688"</f>
        <v>17:46:57.688</v>
      </c>
      <c r="X376" t="str">
        <f>"17:46:57.488"</f>
        <v>17:46:57.488</v>
      </c>
      <c r="Y376" t="str">
        <f t="shared" si="51"/>
        <v>A7C771</v>
      </c>
      <c r="Z376">
        <v>0</v>
      </c>
      <c r="AA376">
        <v>0</v>
      </c>
      <c r="AB376">
        <v>2</v>
      </c>
      <c r="AC376">
        <v>0</v>
      </c>
      <c r="AE376">
        <v>0</v>
      </c>
      <c r="AF376">
        <v>8</v>
      </c>
      <c r="AG376">
        <v>3</v>
      </c>
      <c r="AH376">
        <v>0</v>
      </c>
      <c r="AI376">
        <v>9</v>
      </c>
      <c r="AJ376" t="s">
        <v>125</v>
      </c>
      <c r="AK376">
        <v>0</v>
      </c>
      <c r="AL376">
        <v>3</v>
      </c>
      <c r="AM376">
        <v>2</v>
      </c>
      <c r="AN376">
        <v>1</v>
      </c>
      <c r="AO376" t="s">
        <v>848</v>
      </c>
      <c r="AP376">
        <v>43.039068999999998</v>
      </c>
      <c r="AQ376" t="s">
        <v>849</v>
      </c>
      <c r="AR376">
        <v>-77.565644000000006</v>
      </c>
      <c r="AS376">
        <v>25</v>
      </c>
      <c r="AT376">
        <v>1950</v>
      </c>
      <c r="AU376" t="s">
        <v>123</v>
      </c>
      <c r="AV376">
        <v>4</v>
      </c>
      <c r="AW376">
        <v>169</v>
      </c>
      <c r="AX376">
        <v>-576</v>
      </c>
      <c r="AZ376">
        <f t="shared" si="56"/>
        <v>16</v>
      </c>
      <c r="BA376">
        <f t="shared" si="57"/>
        <v>28561</v>
      </c>
      <c r="BB376" s="1">
        <f t="shared" si="58"/>
        <v>169.04733065032408</v>
      </c>
      <c r="BJ376">
        <v>1404</v>
      </c>
      <c r="BK376">
        <v>1</v>
      </c>
      <c r="BL376" t="str">
        <f t="shared" si="52"/>
        <v xml:space="preserve">N600C   </v>
      </c>
      <c r="BM376">
        <v>2</v>
      </c>
      <c r="BO376">
        <v>0</v>
      </c>
      <c r="BP376">
        <v>0</v>
      </c>
      <c r="BQ376">
        <v>0</v>
      </c>
      <c r="BR376">
        <v>2125</v>
      </c>
      <c r="BS376">
        <v>175</v>
      </c>
      <c r="BT376" t="s">
        <v>128</v>
      </c>
      <c r="BU376">
        <v>0</v>
      </c>
      <c r="BV376">
        <v>0</v>
      </c>
      <c r="BW376">
        <v>0</v>
      </c>
      <c r="BX376">
        <v>1</v>
      </c>
      <c r="CA376">
        <v>0</v>
      </c>
      <c r="CB376">
        <v>0</v>
      </c>
      <c r="CC376">
        <v>0</v>
      </c>
      <c r="CM376" t="str">
        <f>"17:46:57.693"</f>
        <v>17:46:57.693</v>
      </c>
      <c r="CN376">
        <v>693261965</v>
      </c>
      <c r="CQ376">
        <v>0</v>
      </c>
      <c r="CR376">
        <v>2496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3</v>
      </c>
      <c r="DB376">
        <v>2</v>
      </c>
      <c r="DC376">
        <v>0</v>
      </c>
      <c r="DD376">
        <v>2</v>
      </c>
      <c r="DE376">
        <v>0</v>
      </c>
      <c r="DF376">
        <v>7</v>
      </c>
      <c r="DG376">
        <v>7</v>
      </c>
      <c r="DH376" t="s">
        <v>124</v>
      </c>
      <c r="DI376">
        <v>407</v>
      </c>
      <c r="DJ376">
        <v>3</v>
      </c>
      <c r="DK376" t="s">
        <v>132</v>
      </c>
      <c r="DL376" t="s">
        <v>133</v>
      </c>
      <c r="DO376">
        <v>1634053</v>
      </c>
      <c r="DQ376">
        <v>0</v>
      </c>
      <c r="DR376">
        <v>0</v>
      </c>
      <c r="DS376">
        <v>1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</row>
    <row r="377" spans="1:131" x14ac:dyDescent="0.35">
      <c r="A377" s="2" t="str">
        <f>"17:46:58.913"</f>
        <v>17:46:58.913</v>
      </c>
      <c r="B377" s="4">
        <f t="shared" si="59"/>
        <v>64018.913</v>
      </c>
      <c r="C377" s="4">
        <f t="shared" si="53"/>
        <v>418.91300000000047</v>
      </c>
      <c r="D377" s="3">
        <f t="shared" si="54"/>
        <v>0.74095964120370372</v>
      </c>
      <c r="E377" s="2">
        <f t="shared" si="55"/>
        <v>0.74095964120370372</v>
      </c>
      <c r="G377" t="str">
        <f t="shared" si="50"/>
        <v>FFDFD7C0</v>
      </c>
      <c r="H377" t="s">
        <v>126</v>
      </c>
      <c r="I377">
        <v>8</v>
      </c>
      <c r="J377">
        <v>1008</v>
      </c>
      <c r="K377" t="s">
        <v>129</v>
      </c>
      <c r="N377" t="s">
        <v>127</v>
      </c>
      <c r="O377">
        <v>0</v>
      </c>
      <c r="P377">
        <v>3</v>
      </c>
      <c r="Q377">
        <v>0</v>
      </c>
      <c r="R377">
        <v>2</v>
      </c>
      <c r="S377">
        <v>1</v>
      </c>
      <c r="T377">
        <v>0</v>
      </c>
      <c r="U377">
        <v>0</v>
      </c>
      <c r="W377" t="str">
        <f>"17:46:58.664"</f>
        <v>17:46:58.664</v>
      </c>
      <c r="X377" t="str">
        <f>"17:46:58.464"</f>
        <v>17:46:58.464</v>
      </c>
      <c r="Y377" t="str">
        <f t="shared" si="51"/>
        <v>A7C771</v>
      </c>
      <c r="Z377">
        <v>0</v>
      </c>
      <c r="AA377">
        <v>0</v>
      </c>
      <c r="AB377">
        <v>2</v>
      </c>
      <c r="AC377">
        <v>0</v>
      </c>
      <c r="AE377">
        <v>0</v>
      </c>
      <c r="AF377">
        <v>8</v>
      </c>
      <c r="AG377">
        <v>3</v>
      </c>
      <c r="AH377">
        <v>0</v>
      </c>
      <c r="AI377">
        <v>9</v>
      </c>
      <c r="AJ377" t="s">
        <v>125</v>
      </c>
      <c r="AK377">
        <v>0</v>
      </c>
      <c r="AL377">
        <v>3</v>
      </c>
      <c r="AM377">
        <v>2</v>
      </c>
      <c r="AN377">
        <v>1</v>
      </c>
      <c r="AO377" t="s">
        <v>850</v>
      </c>
      <c r="AP377">
        <v>43.039862999999997</v>
      </c>
      <c r="AQ377" t="s">
        <v>849</v>
      </c>
      <c r="AR377">
        <v>-77.565644000000006</v>
      </c>
      <c r="AS377">
        <v>25</v>
      </c>
      <c r="AT377">
        <v>1925</v>
      </c>
      <c r="AU377" t="s">
        <v>123</v>
      </c>
      <c r="AV377">
        <v>4</v>
      </c>
      <c r="AW377">
        <v>170</v>
      </c>
      <c r="AX377">
        <v>-640</v>
      </c>
      <c r="AZ377">
        <f t="shared" si="56"/>
        <v>16</v>
      </c>
      <c r="BA377">
        <f t="shared" si="57"/>
        <v>28900</v>
      </c>
      <c r="BB377" s="1">
        <f t="shared" si="58"/>
        <v>170.04705231199981</v>
      </c>
      <c r="BJ377">
        <v>1404</v>
      </c>
      <c r="BK377">
        <v>1</v>
      </c>
      <c r="BL377" t="str">
        <f t="shared" si="52"/>
        <v xml:space="preserve">N600C   </v>
      </c>
      <c r="BM377">
        <v>2</v>
      </c>
      <c r="BO377">
        <v>0</v>
      </c>
      <c r="BP377">
        <v>0</v>
      </c>
      <c r="BQ377">
        <v>0</v>
      </c>
      <c r="BR377">
        <v>2100</v>
      </c>
      <c r="BS377">
        <v>175</v>
      </c>
      <c r="BT377" t="s">
        <v>128</v>
      </c>
      <c r="BU377">
        <v>0</v>
      </c>
      <c r="BV377">
        <v>0</v>
      </c>
      <c r="BW377">
        <v>0</v>
      </c>
      <c r="BX377">
        <v>1</v>
      </c>
      <c r="CA377">
        <v>0</v>
      </c>
      <c r="CB377">
        <v>0</v>
      </c>
      <c r="CC377">
        <v>0</v>
      </c>
      <c r="CM377" t="str">
        <f>"17:46:58.669"</f>
        <v>17:46:58.669</v>
      </c>
      <c r="CN377">
        <v>669436109</v>
      </c>
      <c r="CQ377">
        <v>0</v>
      </c>
      <c r="CR377">
        <v>2496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3</v>
      </c>
      <c r="DB377">
        <v>2</v>
      </c>
      <c r="DC377">
        <v>0</v>
      </c>
      <c r="DD377">
        <v>2</v>
      </c>
      <c r="DE377">
        <v>0</v>
      </c>
      <c r="DF377">
        <v>7</v>
      </c>
      <c r="DG377">
        <v>7</v>
      </c>
      <c r="DH377" t="s">
        <v>124</v>
      </c>
      <c r="DI377">
        <v>407</v>
      </c>
      <c r="DJ377">
        <v>3</v>
      </c>
      <c r="DK377" t="s">
        <v>132</v>
      </c>
      <c r="DL377" t="s">
        <v>133</v>
      </c>
      <c r="DO377">
        <v>1635166</v>
      </c>
      <c r="DQ377">
        <v>0</v>
      </c>
      <c r="DR377">
        <v>0</v>
      </c>
      <c r="DS377">
        <v>1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</row>
    <row r="378" spans="1:131" x14ac:dyDescent="0.35">
      <c r="A378" s="2" t="str">
        <f>"17:46:59.944"</f>
        <v>17:46:59.944</v>
      </c>
      <c r="B378" s="4">
        <f t="shared" si="59"/>
        <v>64019.944000000003</v>
      </c>
      <c r="C378" s="4">
        <f t="shared" si="53"/>
        <v>419.94400000000314</v>
      </c>
      <c r="D378" s="3">
        <f t="shared" si="54"/>
        <v>0.7409715740740741</v>
      </c>
      <c r="E378" s="2">
        <f t="shared" si="55"/>
        <v>0.7409715740740741</v>
      </c>
      <c r="G378" t="str">
        <f t="shared" si="50"/>
        <v>FFDFD7C0</v>
      </c>
      <c r="H378" t="s">
        <v>126</v>
      </c>
      <c r="I378">
        <v>8</v>
      </c>
      <c r="J378">
        <v>1008</v>
      </c>
      <c r="K378" t="s">
        <v>129</v>
      </c>
      <c r="N378" t="s">
        <v>127</v>
      </c>
      <c r="O378">
        <v>0</v>
      </c>
      <c r="P378">
        <v>3</v>
      </c>
      <c r="Q378">
        <v>0</v>
      </c>
      <c r="R378">
        <v>2</v>
      </c>
      <c r="S378">
        <v>1</v>
      </c>
      <c r="T378">
        <v>0</v>
      </c>
      <c r="U378">
        <v>0</v>
      </c>
      <c r="W378" t="str">
        <f>"17:46:59.680"</f>
        <v>17:46:59.680</v>
      </c>
      <c r="X378" t="str">
        <f>"17:46:59.480"</f>
        <v>17:46:59.480</v>
      </c>
      <c r="Y378" t="str">
        <f t="shared" si="51"/>
        <v>A7C771</v>
      </c>
      <c r="Z378">
        <v>0</v>
      </c>
      <c r="AA378">
        <v>0</v>
      </c>
      <c r="AB378">
        <v>2</v>
      </c>
      <c r="AC378">
        <v>0</v>
      </c>
      <c r="AE378">
        <v>0</v>
      </c>
      <c r="AF378">
        <v>8</v>
      </c>
      <c r="AG378">
        <v>3</v>
      </c>
      <c r="AH378">
        <v>0</v>
      </c>
      <c r="AI378">
        <v>9</v>
      </c>
      <c r="AJ378" t="s">
        <v>125</v>
      </c>
      <c r="AK378">
        <v>0</v>
      </c>
      <c r="AL378">
        <v>3</v>
      </c>
      <c r="AM378">
        <v>2</v>
      </c>
      <c r="AN378">
        <v>1</v>
      </c>
      <c r="AO378" t="s">
        <v>851</v>
      </c>
      <c r="AP378">
        <v>43.040635999999999</v>
      </c>
      <c r="AQ378" t="s">
        <v>852</v>
      </c>
      <c r="AR378">
        <v>-77.565579</v>
      </c>
      <c r="AS378">
        <v>25</v>
      </c>
      <c r="AT378">
        <v>1925</v>
      </c>
      <c r="AU378" t="s">
        <v>123</v>
      </c>
      <c r="AV378">
        <v>4</v>
      </c>
      <c r="AW378">
        <v>170</v>
      </c>
      <c r="AX378">
        <v>-640</v>
      </c>
      <c r="AZ378">
        <f t="shared" si="56"/>
        <v>16</v>
      </c>
      <c r="BA378">
        <f t="shared" si="57"/>
        <v>28900</v>
      </c>
      <c r="BB378" s="1">
        <f t="shared" si="58"/>
        <v>170.04705231199981</v>
      </c>
      <c r="BJ378">
        <v>1404</v>
      </c>
      <c r="BK378">
        <v>1</v>
      </c>
      <c r="BL378" t="str">
        <f t="shared" si="52"/>
        <v xml:space="preserve">N600C   </v>
      </c>
      <c r="BM378">
        <v>2</v>
      </c>
      <c r="BO378">
        <v>0</v>
      </c>
      <c r="BP378">
        <v>0</v>
      </c>
      <c r="BQ378">
        <v>0</v>
      </c>
      <c r="BR378">
        <v>2100</v>
      </c>
      <c r="BS378">
        <v>175</v>
      </c>
      <c r="BT378" t="s">
        <v>128</v>
      </c>
      <c r="BU378">
        <v>0</v>
      </c>
      <c r="BV378">
        <v>0</v>
      </c>
      <c r="BW378">
        <v>0</v>
      </c>
      <c r="BX378">
        <v>1</v>
      </c>
      <c r="CA378">
        <v>0</v>
      </c>
      <c r="CB378">
        <v>0</v>
      </c>
      <c r="CC378">
        <v>0</v>
      </c>
      <c r="CM378" t="str">
        <f>"17:46:59.686"</f>
        <v>17:46:59.686</v>
      </c>
      <c r="CN378">
        <v>685624465</v>
      </c>
      <c r="CQ378">
        <v>0</v>
      </c>
      <c r="CR378">
        <v>2496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3</v>
      </c>
      <c r="DB378">
        <v>2</v>
      </c>
      <c r="DC378">
        <v>0</v>
      </c>
      <c r="DD378">
        <v>2</v>
      </c>
      <c r="DE378">
        <v>0</v>
      </c>
      <c r="DF378">
        <v>7</v>
      </c>
      <c r="DG378">
        <v>7</v>
      </c>
      <c r="DH378" t="s">
        <v>124</v>
      </c>
      <c r="DI378">
        <v>71</v>
      </c>
      <c r="DJ378">
        <v>0</v>
      </c>
      <c r="DK378" t="s">
        <v>134</v>
      </c>
      <c r="DL378" t="s">
        <v>135</v>
      </c>
      <c r="DO378">
        <v>10207284</v>
      </c>
      <c r="DQ378">
        <v>0</v>
      </c>
      <c r="DR378">
        <v>0</v>
      </c>
      <c r="DS378">
        <v>1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</row>
    <row r="379" spans="1:131" x14ac:dyDescent="0.35">
      <c r="A379" s="2" t="str">
        <f>"17:47:00.975"</f>
        <v>17:47:00.975</v>
      </c>
      <c r="B379" s="4">
        <f t="shared" si="59"/>
        <v>64020.975000000006</v>
      </c>
      <c r="C379" s="4">
        <f t="shared" si="53"/>
        <v>420.97500000000582</v>
      </c>
      <c r="D379" s="3">
        <f t="shared" si="54"/>
        <v>0.74098350694444448</v>
      </c>
      <c r="E379" s="2">
        <f t="shared" si="55"/>
        <v>0.74098350694444448</v>
      </c>
      <c r="G379" t="str">
        <f t="shared" si="50"/>
        <v>FFDFD7C0</v>
      </c>
      <c r="H379" t="s">
        <v>126</v>
      </c>
      <c r="I379">
        <v>8</v>
      </c>
      <c r="J379">
        <v>1008</v>
      </c>
      <c r="K379" t="s">
        <v>129</v>
      </c>
      <c r="N379" t="s">
        <v>127</v>
      </c>
      <c r="O379">
        <v>0</v>
      </c>
      <c r="P379">
        <v>3</v>
      </c>
      <c r="Q379">
        <v>0</v>
      </c>
      <c r="R379">
        <v>2</v>
      </c>
      <c r="S379">
        <v>1</v>
      </c>
      <c r="T379">
        <v>0</v>
      </c>
      <c r="U379">
        <v>0</v>
      </c>
      <c r="W379" t="str">
        <f>"17:47:00.602"</f>
        <v>17:47:00.602</v>
      </c>
      <c r="X379" t="str">
        <f>"17:47:00.402"</f>
        <v>17:47:00.402</v>
      </c>
      <c r="Y379" t="str">
        <f t="shared" si="51"/>
        <v>A7C771</v>
      </c>
      <c r="Z379">
        <v>0</v>
      </c>
      <c r="AA379">
        <v>0</v>
      </c>
      <c r="AB379">
        <v>2</v>
      </c>
      <c r="AC379">
        <v>0</v>
      </c>
      <c r="AE379">
        <v>0</v>
      </c>
      <c r="AF379">
        <v>8</v>
      </c>
      <c r="AG379">
        <v>3</v>
      </c>
      <c r="AH379">
        <v>0</v>
      </c>
      <c r="AI379">
        <v>9</v>
      </c>
      <c r="AJ379" t="s">
        <v>125</v>
      </c>
      <c r="AK379">
        <v>0</v>
      </c>
      <c r="AL379">
        <v>3</v>
      </c>
      <c r="AM379">
        <v>2</v>
      </c>
      <c r="AN379">
        <v>1</v>
      </c>
      <c r="AO379" t="s">
        <v>853</v>
      </c>
      <c r="AP379">
        <v>43.041364999999999</v>
      </c>
      <c r="AQ379" t="s">
        <v>852</v>
      </c>
      <c r="AR379">
        <v>-77.565579</v>
      </c>
      <c r="AS379">
        <v>25</v>
      </c>
      <c r="AT379">
        <v>1900</v>
      </c>
      <c r="AU379" t="s">
        <v>123</v>
      </c>
      <c r="AV379">
        <v>5</v>
      </c>
      <c r="AW379">
        <v>170</v>
      </c>
      <c r="AX379">
        <v>-704</v>
      </c>
      <c r="AZ379">
        <f t="shared" si="56"/>
        <v>25</v>
      </c>
      <c r="BA379">
        <f t="shared" si="57"/>
        <v>28900</v>
      </c>
      <c r="BB379" s="1">
        <f t="shared" si="58"/>
        <v>170.07351351694948</v>
      </c>
      <c r="BJ379">
        <v>1404</v>
      </c>
      <c r="BK379">
        <v>1</v>
      </c>
      <c r="BL379" t="str">
        <f t="shared" si="52"/>
        <v xml:space="preserve">N600C   </v>
      </c>
      <c r="BM379">
        <v>2</v>
      </c>
      <c r="BO379">
        <v>0</v>
      </c>
      <c r="BP379">
        <v>0</v>
      </c>
      <c r="BQ379">
        <v>0</v>
      </c>
      <c r="BR379">
        <v>2075</v>
      </c>
      <c r="BS379">
        <v>175</v>
      </c>
      <c r="BT379" t="s">
        <v>128</v>
      </c>
      <c r="BU379">
        <v>0</v>
      </c>
      <c r="BV379">
        <v>0</v>
      </c>
      <c r="BW379">
        <v>0</v>
      </c>
      <c r="BX379">
        <v>1</v>
      </c>
      <c r="CA379">
        <v>0</v>
      </c>
      <c r="CB379">
        <v>0</v>
      </c>
      <c r="CC379">
        <v>0</v>
      </c>
      <c r="CM379" t="str">
        <f>"17:47:00.606"</f>
        <v>17:47:00.606</v>
      </c>
      <c r="CN379">
        <v>605793316</v>
      </c>
      <c r="CQ379">
        <v>0</v>
      </c>
      <c r="CR379">
        <v>2496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3</v>
      </c>
      <c r="DB379">
        <v>2</v>
      </c>
      <c r="DC379">
        <v>0</v>
      </c>
      <c r="DD379">
        <v>2</v>
      </c>
      <c r="DE379">
        <v>0</v>
      </c>
      <c r="DF379">
        <v>7</v>
      </c>
      <c r="DG379">
        <v>7</v>
      </c>
      <c r="DH379" t="s">
        <v>124</v>
      </c>
      <c r="DI379">
        <v>71</v>
      </c>
      <c r="DJ379">
        <v>1</v>
      </c>
      <c r="DK379" t="s">
        <v>134</v>
      </c>
      <c r="DL379" t="s">
        <v>135</v>
      </c>
      <c r="DO379">
        <v>11565738</v>
      </c>
      <c r="DQ379">
        <v>0</v>
      </c>
      <c r="DR379">
        <v>0</v>
      </c>
      <c r="DS379">
        <v>1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</row>
    <row r="380" spans="1:131" x14ac:dyDescent="0.35">
      <c r="A380" s="2" t="str">
        <f>"17:47:02.076"</f>
        <v>17:47:02.076</v>
      </c>
      <c r="B380" s="4">
        <f t="shared" si="59"/>
        <v>64022.076000000001</v>
      </c>
      <c r="C380" s="4">
        <f t="shared" si="53"/>
        <v>422.07600000000093</v>
      </c>
      <c r="D380" s="3">
        <f t="shared" si="54"/>
        <v>0.74099625000000002</v>
      </c>
      <c r="E380" s="2">
        <f t="shared" si="55"/>
        <v>0.74099625000000002</v>
      </c>
      <c r="G380" t="str">
        <f t="shared" si="50"/>
        <v>FFDFD7C0</v>
      </c>
      <c r="H380" t="s">
        <v>126</v>
      </c>
      <c r="I380">
        <v>8</v>
      </c>
      <c r="J380">
        <v>1008</v>
      </c>
      <c r="K380" t="s">
        <v>129</v>
      </c>
      <c r="N380" t="s">
        <v>127</v>
      </c>
      <c r="O380">
        <v>0</v>
      </c>
      <c r="P380">
        <v>3</v>
      </c>
      <c r="Q380">
        <v>0</v>
      </c>
      <c r="R380">
        <v>2</v>
      </c>
      <c r="S380">
        <v>1</v>
      </c>
      <c r="T380">
        <v>0</v>
      </c>
      <c r="U380">
        <v>0</v>
      </c>
      <c r="W380" t="str">
        <f>"17:47:01.703"</f>
        <v>17:47:01.703</v>
      </c>
      <c r="X380" t="str">
        <f>"17:47:01.403"</f>
        <v>17:47:01.403</v>
      </c>
      <c r="Y380" t="str">
        <f t="shared" si="51"/>
        <v>A7C771</v>
      </c>
      <c r="Z380">
        <v>0</v>
      </c>
      <c r="AA380">
        <v>0</v>
      </c>
      <c r="AB380">
        <v>2</v>
      </c>
      <c r="AC380">
        <v>0</v>
      </c>
      <c r="AE380">
        <v>0</v>
      </c>
      <c r="AF380">
        <v>8</v>
      </c>
      <c r="AG380">
        <v>3</v>
      </c>
      <c r="AH380">
        <v>0</v>
      </c>
      <c r="AI380">
        <v>9</v>
      </c>
      <c r="AJ380" t="s">
        <v>125</v>
      </c>
      <c r="AK380">
        <v>0</v>
      </c>
      <c r="AL380">
        <v>3</v>
      </c>
      <c r="AM380">
        <v>2</v>
      </c>
      <c r="AN380">
        <v>1</v>
      </c>
      <c r="AO380" t="s">
        <v>854</v>
      </c>
      <c r="AP380">
        <v>43.042245000000001</v>
      </c>
      <c r="AQ380" t="s">
        <v>855</v>
      </c>
      <c r="AR380">
        <v>-77.565515000000005</v>
      </c>
      <c r="AS380">
        <v>25</v>
      </c>
      <c r="AT380">
        <v>1900</v>
      </c>
      <c r="AU380" t="s">
        <v>123</v>
      </c>
      <c r="AV380">
        <v>6</v>
      </c>
      <c r="AW380">
        <v>171</v>
      </c>
      <c r="AX380">
        <v>-704</v>
      </c>
      <c r="AZ380">
        <f t="shared" si="56"/>
        <v>36</v>
      </c>
      <c r="BA380">
        <f t="shared" si="57"/>
        <v>29241</v>
      </c>
      <c r="BB380" s="1">
        <f t="shared" si="58"/>
        <v>171.10523077919038</v>
      </c>
      <c r="BJ380">
        <v>1404</v>
      </c>
      <c r="BK380">
        <v>1</v>
      </c>
      <c r="BL380" t="str">
        <f t="shared" si="52"/>
        <v xml:space="preserve">N600C   </v>
      </c>
      <c r="BM380">
        <v>2</v>
      </c>
      <c r="BO380">
        <v>0</v>
      </c>
      <c r="BP380">
        <v>0</v>
      </c>
      <c r="BQ380">
        <v>0</v>
      </c>
      <c r="BR380">
        <v>2075</v>
      </c>
      <c r="BS380">
        <v>175</v>
      </c>
      <c r="BT380" t="s">
        <v>128</v>
      </c>
      <c r="BU380">
        <v>0</v>
      </c>
      <c r="BV380">
        <v>0</v>
      </c>
      <c r="BW380">
        <v>0</v>
      </c>
      <c r="BX380">
        <v>1</v>
      </c>
      <c r="CA380">
        <v>0</v>
      </c>
      <c r="CB380">
        <v>0</v>
      </c>
      <c r="CC380">
        <v>0</v>
      </c>
      <c r="CM380" t="str">
        <f>"17:47:01.710"</f>
        <v>17:47:01.710</v>
      </c>
      <c r="CN380">
        <v>709991831</v>
      </c>
      <c r="CQ380">
        <v>0</v>
      </c>
      <c r="CR380">
        <v>2496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3</v>
      </c>
      <c r="DB380">
        <v>2</v>
      </c>
      <c r="DC380">
        <v>0</v>
      </c>
      <c r="DD380">
        <v>2</v>
      </c>
      <c r="DE380">
        <v>0</v>
      </c>
      <c r="DF380">
        <v>7</v>
      </c>
      <c r="DG380">
        <v>7</v>
      </c>
      <c r="DH380" t="s">
        <v>124</v>
      </c>
      <c r="DI380">
        <v>407</v>
      </c>
      <c r="DJ380">
        <v>3</v>
      </c>
      <c r="DK380" t="s">
        <v>132</v>
      </c>
      <c r="DL380" t="s">
        <v>133</v>
      </c>
      <c r="DO380">
        <v>1638282</v>
      </c>
      <c r="DQ380">
        <v>0</v>
      </c>
      <c r="DR380">
        <v>0</v>
      </c>
      <c r="DS380">
        <v>1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</row>
    <row r="381" spans="1:131" x14ac:dyDescent="0.35">
      <c r="A381" s="2" t="str">
        <f>"17:47:03.013"</f>
        <v>17:47:03.013</v>
      </c>
      <c r="B381" s="4">
        <f t="shared" si="59"/>
        <v>64023.012999999992</v>
      </c>
      <c r="C381" s="4">
        <f t="shared" si="53"/>
        <v>423.01299999999173</v>
      </c>
      <c r="D381" s="3">
        <f t="shared" si="54"/>
        <v>0.74100709490740735</v>
      </c>
      <c r="E381" s="2">
        <f t="shared" si="55"/>
        <v>0.74100709490740735</v>
      </c>
      <c r="G381" t="str">
        <f t="shared" si="50"/>
        <v>FFDFD7C0</v>
      </c>
      <c r="H381" t="s">
        <v>126</v>
      </c>
      <c r="I381">
        <v>8</v>
      </c>
      <c r="J381">
        <v>1008</v>
      </c>
      <c r="K381" t="s">
        <v>129</v>
      </c>
      <c r="N381" t="s">
        <v>127</v>
      </c>
      <c r="O381">
        <v>0</v>
      </c>
      <c r="P381">
        <v>3</v>
      </c>
      <c r="Q381">
        <v>0</v>
      </c>
      <c r="R381">
        <v>2</v>
      </c>
      <c r="S381">
        <v>1</v>
      </c>
      <c r="T381">
        <v>0</v>
      </c>
      <c r="U381">
        <v>0</v>
      </c>
      <c r="W381" t="str">
        <f>"17:47:02.648"</f>
        <v>17:47:02.648</v>
      </c>
      <c r="X381" t="str">
        <f>"17:47:02.548"</f>
        <v>17:47:02.548</v>
      </c>
      <c r="Y381" t="str">
        <f t="shared" si="51"/>
        <v>A7C771</v>
      </c>
      <c r="Z381">
        <v>0</v>
      </c>
      <c r="AA381">
        <v>0</v>
      </c>
      <c r="AB381">
        <v>2</v>
      </c>
      <c r="AC381">
        <v>0</v>
      </c>
      <c r="AE381">
        <v>0</v>
      </c>
      <c r="AF381">
        <v>8</v>
      </c>
      <c r="AG381">
        <v>3</v>
      </c>
      <c r="AH381">
        <v>0</v>
      </c>
      <c r="AI381">
        <v>9</v>
      </c>
      <c r="AJ381" t="s">
        <v>125</v>
      </c>
      <c r="AK381">
        <v>0</v>
      </c>
      <c r="AL381">
        <v>3</v>
      </c>
      <c r="AM381">
        <v>2</v>
      </c>
      <c r="AN381">
        <v>1</v>
      </c>
      <c r="AO381" t="s">
        <v>856</v>
      </c>
      <c r="AP381">
        <v>43.042952999999997</v>
      </c>
      <c r="AQ381" t="s">
        <v>857</v>
      </c>
      <c r="AR381">
        <v>-77.565494000000001</v>
      </c>
      <c r="AS381">
        <v>25</v>
      </c>
      <c r="AT381">
        <v>1875</v>
      </c>
      <c r="AU381" t="s">
        <v>123</v>
      </c>
      <c r="AV381">
        <v>6</v>
      </c>
      <c r="AW381">
        <v>171</v>
      </c>
      <c r="AX381">
        <v>-448</v>
      </c>
      <c r="AZ381">
        <f t="shared" si="56"/>
        <v>36</v>
      </c>
      <c r="BA381">
        <f t="shared" si="57"/>
        <v>29241</v>
      </c>
      <c r="BB381" s="1">
        <f t="shared" si="58"/>
        <v>171.10523077919038</v>
      </c>
      <c r="BJ381">
        <v>1404</v>
      </c>
      <c r="BK381">
        <v>1</v>
      </c>
      <c r="BL381" t="str">
        <f t="shared" si="52"/>
        <v xml:space="preserve">N600C   </v>
      </c>
      <c r="BM381">
        <v>2</v>
      </c>
      <c r="BO381">
        <v>0</v>
      </c>
      <c r="BP381">
        <v>0</v>
      </c>
      <c r="BQ381">
        <v>0</v>
      </c>
      <c r="BR381">
        <v>2050</v>
      </c>
      <c r="BS381">
        <v>175</v>
      </c>
      <c r="BT381" t="s">
        <v>128</v>
      </c>
      <c r="BU381">
        <v>0</v>
      </c>
      <c r="BV381">
        <v>0</v>
      </c>
      <c r="BW381">
        <v>0</v>
      </c>
      <c r="BX381">
        <v>1</v>
      </c>
      <c r="CA381">
        <v>0</v>
      </c>
      <c r="CB381">
        <v>0</v>
      </c>
      <c r="CC381">
        <v>0</v>
      </c>
      <c r="CM381" t="str">
        <f>"17:47:02.654"</f>
        <v>17:47:02.654</v>
      </c>
      <c r="CN381">
        <v>654159642</v>
      </c>
      <c r="CQ381">
        <v>0</v>
      </c>
      <c r="CR381">
        <v>2496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3</v>
      </c>
      <c r="DB381">
        <v>2</v>
      </c>
      <c r="DC381">
        <v>0</v>
      </c>
      <c r="DD381">
        <v>2</v>
      </c>
      <c r="DE381">
        <v>0</v>
      </c>
      <c r="DF381">
        <v>7</v>
      </c>
      <c r="DG381">
        <v>7</v>
      </c>
      <c r="DH381" t="s">
        <v>124</v>
      </c>
      <c r="DI381">
        <v>71</v>
      </c>
      <c r="DJ381">
        <v>0</v>
      </c>
      <c r="DK381" t="s">
        <v>134</v>
      </c>
      <c r="DL381" t="s">
        <v>135</v>
      </c>
      <c r="DO381">
        <v>10209547</v>
      </c>
      <c r="DQ381">
        <v>0</v>
      </c>
      <c r="DR381">
        <v>0</v>
      </c>
      <c r="DS381">
        <v>1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</row>
    <row r="382" spans="1:131" x14ac:dyDescent="0.35">
      <c r="A382" s="2" t="str">
        <f>"17:47:04.803"</f>
        <v>17:47:04.803</v>
      </c>
      <c r="B382" s="4">
        <f t="shared" si="59"/>
        <v>64024.803000000007</v>
      </c>
      <c r="C382" s="4">
        <f t="shared" si="53"/>
        <v>424.80300000000716</v>
      </c>
      <c r="D382" s="3">
        <f t="shared" si="54"/>
        <v>0.74102781250000005</v>
      </c>
      <c r="E382" s="2">
        <f t="shared" si="55"/>
        <v>0.74102781250000005</v>
      </c>
      <c r="G382" t="str">
        <f t="shared" si="50"/>
        <v>FFDFD7C0</v>
      </c>
      <c r="H382" t="s">
        <v>126</v>
      </c>
      <c r="I382">
        <v>8</v>
      </c>
      <c r="J382">
        <v>1008</v>
      </c>
      <c r="K382" t="s">
        <v>129</v>
      </c>
      <c r="N382" t="s">
        <v>127</v>
      </c>
      <c r="O382">
        <v>0</v>
      </c>
      <c r="P382">
        <v>3</v>
      </c>
      <c r="Q382">
        <v>0</v>
      </c>
      <c r="R382">
        <v>2</v>
      </c>
      <c r="S382">
        <v>1</v>
      </c>
      <c r="T382">
        <v>0</v>
      </c>
      <c r="U382">
        <v>0</v>
      </c>
      <c r="W382" t="str">
        <f>"17:47:04.555"</f>
        <v>17:47:04.555</v>
      </c>
      <c r="X382" t="str">
        <f>"17:47:04.455"</f>
        <v>17:47:04.455</v>
      </c>
      <c r="Y382" t="str">
        <f t="shared" si="51"/>
        <v>A7C771</v>
      </c>
      <c r="Z382">
        <v>0</v>
      </c>
      <c r="AA382">
        <v>0</v>
      </c>
      <c r="AB382">
        <v>2</v>
      </c>
      <c r="AC382">
        <v>0</v>
      </c>
      <c r="AE382">
        <v>0</v>
      </c>
      <c r="AF382">
        <v>8</v>
      </c>
      <c r="AG382">
        <v>3</v>
      </c>
      <c r="AH382">
        <v>0</v>
      </c>
      <c r="AI382">
        <v>9</v>
      </c>
      <c r="AJ382" t="s">
        <v>125</v>
      </c>
      <c r="AK382">
        <v>0</v>
      </c>
      <c r="AL382">
        <v>3</v>
      </c>
      <c r="AM382">
        <v>2</v>
      </c>
      <c r="AN382">
        <v>1</v>
      </c>
      <c r="AO382" t="s">
        <v>858</v>
      </c>
      <c r="AP382">
        <v>43.044434000000003</v>
      </c>
      <c r="AQ382" t="s">
        <v>859</v>
      </c>
      <c r="AR382">
        <v>-77.565386000000004</v>
      </c>
      <c r="AS382">
        <v>25</v>
      </c>
      <c r="AT382">
        <v>1875</v>
      </c>
      <c r="AU382" t="s">
        <v>123</v>
      </c>
      <c r="AV382">
        <v>6</v>
      </c>
      <c r="AW382">
        <v>172</v>
      </c>
      <c r="AX382">
        <v>-320</v>
      </c>
      <c r="AZ382">
        <f t="shared" si="56"/>
        <v>36</v>
      </c>
      <c r="BA382">
        <f t="shared" si="57"/>
        <v>29584</v>
      </c>
      <c r="BB382" s="1">
        <f t="shared" si="58"/>
        <v>172.10461934532728</v>
      </c>
      <c r="BJ382">
        <v>1404</v>
      </c>
      <c r="BK382">
        <v>1</v>
      </c>
      <c r="BL382" t="str">
        <f t="shared" si="52"/>
        <v xml:space="preserve">N600C   </v>
      </c>
      <c r="BM382">
        <v>2</v>
      </c>
      <c r="BO382">
        <v>0</v>
      </c>
      <c r="BP382">
        <v>0</v>
      </c>
      <c r="BQ382">
        <v>0</v>
      </c>
      <c r="BR382">
        <v>2050</v>
      </c>
      <c r="BS382">
        <v>175</v>
      </c>
      <c r="BT382" t="s">
        <v>128</v>
      </c>
      <c r="BU382">
        <v>0</v>
      </c>
      <c r="BV382">
        <v>0</v>
      </c>
      <c r="BW382">
        <v>0</v>
      </c>
      <c r="BX382">
        <v>1</v>
      </c>
      <c r="CA382">
        <v>0</v>
      </c>
      <c r="CB382">
        <v>0</v>
      </c>
      <c r="CC382">
        <v>0</v>
      </c>
      <c r="CM382" t="str">
        <f>"17:47:04.558"</f>
        <v>17:47:04.558</v>
      </c>
      <c r="CN382">
        <v>558499344</v>
      </c>
      <c r="CQ382">
        <v>0</v>
      </c>
      <c r="CR382">
        <v>2496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3</v>
      </c>
      <c r="DB382">
        <v>2</v>
      </c>
      <c r="DC382">
        <v>0</v>
      </c>
      <c r="DD382">
        <v>2</v>
      </c>
      <c r="DE382">
        <v>0</v>
      </c>
      <c r="DF382">
        <v>7</v>
      </c>
      <c r="DG382">
        <v>7</v>
      </c>
      <c r="DH382" t="s">
        <v>124</v>
      </c>
      <c r="DI382">
        <v>407</v>
      </c>
      <c r="DJ382">
        <v>3</v>
      </c>
      <c r="DK382" t="s">
        <v>132</v>
      </c>
      <c r="DL382" t="s">
        <v>133</v>
      </c>
      <c r="DO382">
        <v>1641332</v>
      </c>
      <c r="DQ382">
        <v>0</v>
      </c>
      <c r="DR382">
        <v>0</v>
      </c>
      <c r="DS382">
        <v>1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</row>
    <row r="383" spans="1:131" x14ac:dyDescent="0.35">
      <c r="A383" s="2" t="str">
        <f>"17:47:05.810"</f>
        <v>17:47:05.810</v>
      </c>
      <c r="B383" s="4">
        <f t="shared" si="59"/>
        <v>64025.81</v>
      </c>
      <c r="C383" s="4">
        <f t="shared" si="53"/>
        <v>425.80999999999767</v>
      </c>
      <c r="D383" s="3">
        <f t="shared" si="54"/>
        <v>0.74103946759259254</v>
      </c>
      <c r="E383" s="2">
        <f t="shared" si="55"/>
        <v>0.74103946759259254</v>
      </c>
      <c r="G383" t="str">
        <f t="shared" si="50"/>
        <v>FFDFD7C0</v>
      </c>
      <c r="H383" t="s">
        <v>126</v>
      </c>
      <c r="I383">
        <v>8</v>
      </c>
      <c r="J383">
        <v>1008</v>
      </c>
      <c r="K383" t="s">
        <v>129</v>
      </c>
      <c r="N383" t="s">
        <v>127</v>
      </c>
      <c r="O383">
        <v>0</v>
      </c>
      <c r="P383">
        <v>3</v>
      </c>
      <c r="Q383">
        <v>0</v>
      </c>
      <c r="R383">
        <v>2</v>
      </c>
      <c r="S383">
        <v>1</v>
      </c>
      <c r="T383">
        <v>0</v>
      </c>
      <c r="U383">
        <v>0</v>
      </c>
      <c r="W383" t="str">
        <f>"17:47:05.555"</f>
        <v>17:47:05.555</v>
      </c>
      <c r="X383" t="str">
        <f>"17:47:05.455"</f>
        <v>17:47:05.455</v>
      </c>
      <c r="Y383" t="str">
        <f t="shared" si="51"/>
        <v>A7C771</v>
      </c>
      <c r="Z383">
        <v>0</v>
      </c>
      <c r="AA383">
        <v>0</v>
      </c>
      <c r="AB383">
        <v>2</v>
      </c>
      <c r="AC383">
        <v>0</v>
      </c>
      <c r="AE383">
        <v>0</v>
      </c>
      <c r="AF383">
        <v>8</v>
      </c>
      <c r="AG383">
        <v>3</v>
      </c>
      <c r="AH383">
        <v>0</v>
      </c>
      <c r="AI383">
        <v>9</v>
      </c>
      <c r="AJ383" t="s">
        <v>125</v>
      </c>
      <c r="AK383">
        <v>0</v>
      </c>
      <c r="AL383">
        <v>3</v>
      </c>
      <c r="AM383">
        <v>2</v>
      </c>
      <c r="AN383">
        <v>1</v>
      </c>
      <c r="AO383" t="s">
        <v>860</v>
      </c>
      <c r="AP383">
        <v>43.045248999999998</v>
      </c>
      <c r="AQ383" t="s">
        <v>859</v>
      </c>
      <c r="AR383">
        <v>-77.565386000000004</v>
      </c>
      <c r="AS383">
        <v>25</v>
      </c>
      <c r="AT383">
        <v>1875</v>
      </c>
      <c r="AU383" t="s">
        <v>123</v>
      </c>
      <c r="AV383">
        <v>6</v>
      </c>
      <c r="AW383">
        <v>172</v>
      </c>
      <c r="AX383">
        <v>-192</v>
      </c>
      <c r="AZ383">
        <f t="shared" si="56"/>
        <v>36</v>
      </c>
      <c r="BA383">
        <f t="shared" si="57"/>
        <v>29584</v>
      </c>
      <c r="BB383" s="1">
        <f t="shared" si="58"/>
        <v>172.10461934532728</v>
      </c>
      <c r="BJ383">
        <v>1404</v>
      </c>
      <c r="BK383">
        <v>1</v>
      </c>
      <c r="BL383" t="str">
        <f t="shared" si="52"/>
        <v xml:space="preserve">N600C   </v>
      </c>
      <c r="BM383">
        <v>2</v>
      </c>
      <c r="BO383">
        <v>0</v>
      </c>
      <c r="BP383">
        <v>0</v>
      </c>
      <c r="BQ383">
        <v>0</v>
      </c>
      <c r="BR383">
        <v>2050</v>
      </c>
      <c r="BS383">
        <v>175</v>
      </c>
      <c r="BT383" t="s">
        <v>128</v>
      </c>
      <c r="BU383">
        <v>0</v>
      </c>
      <c r="BV383">
        <v>0</v>
      </c>
      <c r="BW383">
        <v>0</v>
      </c>
      <c r="BX383">
        <v>1</v>
      </c>
      <c r="CA383">
        <v>0</v>
      </c>
      <c r="CB383">
        <v>0</v>
      </c>
      <c r="CC383">
        <v>0</v>
      </c>
      <c r="CM383" t="str">
        <f>"17:47:05.559"</f>
        <v>17:47:05.559</v>
      </c>
      <c r="CN383">
        <v>558675156</v>
      </c>
      <c r="CQ383">
        <v>0</v>
      </c>
      <c r="CR383">
        <v>2496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3</v>
      </c>
      <c r="DB383">
        <v>2</v>
      </c>
      <c r="DC383">
        <v>0</v>
      </c>
      <c r="DD383">
        <v>2</v>
      </c>
      <c r="DE383">
        <v>0</v>
      </c>
      <c r="DF383">
        <v>7</v>
      </c>
      <c r="DG383">
        <v>7</v>
      </c>
      <c r="DH383" t="s">
        <v>124</v>
      </c>
      <c r="DI383">
        <v>407</v>
      </c>
      <c r="DJ383">
        <v>3</v>
      </c>
      <c r="DK383" t="s">
        <v>132</v>
      </c>
      <c r="DL383" t="s">
        <v>133</v>
      </c>
      <c r="DO383">
        <v>1642332</v>
      </c>
      <c r="DQ383">
        <v>0</v>
      </c>
      <c r="DR383">
        <v>0</v>
      </c>
      <c r="DS383">
        <v>1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</row>
    <row r="384" spans="1:131" x14ac:dyDescent="0.35">
      <c r="A384" s="2" t="str">
        <f>"17:47:06.759"</f>
        <v>17:47:06.759</v>
      </c>
      <c r="B384" s="4">
        <f t="shared" si="59"/>
        <v>64026.759000000005</v>
      </c>
      <c r="C384" s="4">
        <f t="shared" si="53"/>
        <v>426.75900000000547</v>
      </c>
      <c r="D384" s="3">
        <f t="shared" si="54"/>
        <v>0.74105045138888892</v>
      </c>
      <c r="E384" s="2">
        <f t="shared" si="55"/>
        <v>0.74105045138888892</v>
      </c>
      <c r="G384" t="str">
        <f t="shared" si="50"/>
        <v>FFDFD7C0</v>
      </c>
      <c r="H384" t="s">
        <v>126</v>
      </c>
      <c r="I384">
        <v>8</v>
      </c>
      <c r="J384">
        <v>1008</v>
      </c>
      <c r="K384" t="s">
        <v>129</v>
      </c>
      <c r="N384" t="s">
        <v>127</v>
      </c>
      <c r="O384">
        <v>0</v>
      </c>
      <c r="P384">
        <v>3</v>
      </c>
      <c r="Q384">
        <v>0</v>
      </c>
      <c r="R384">
        <v>2</v>
      </c>
      <c r="S384">
        <v>1</v>
      </c>
      <c r="T384">
        <v>0</v>
      </c>
      <c r="U384">
        <v>0</v>
      </c>
      <c r="W384" t="str">
        <f>"17:47:06.523"</f>
        <v>17:47:06.523</v>
      </c>
      <c r="X384" t="str">
        <f>"17:47:06.423"</f>
        <v>17:47:06.423</v>
      </c>
      <c r="Y384" t="str">
        <f t="shared" si="51"/>
        <v>A7C771</v>
      </c>
      <c r="Z384">
        <v>0</v>
      </c>
      <c r="AA384">
        <v>0</v>
      </c>
      <c r="AB384">
        <v>2</v>
      </c>
      <c r="AC384">
        <v>0</v>
      </c>
      <c r="AE384">
        <v>0</v>
      </c>
      <c r="AF384">
        <v>8</v>
      </c>
      <c r="AG384">
        <v>3</v>
      </c>
      <c r="AH384">
        <v>0</v>
      </c>
      <c r="AI384">
        <v>9</v>
      </c>
      <c r="AJ384" t="s">
        <v>125</v>
      </c>
      <c r="AK384">
        <v>0</v>
      </c>
      <c r="AL384">
        <v>3</v>
      </c>
      <c r="AM384">
        <v>2</v>
      </c>
      <c r="AN384">
        <v>1</v>
      </c>
      <c r="AO384" t="s">
        <v>861</v>
      </c>
      <c r="AP384">
        <v>43.046042999999997</v>
      </c>
      <c r="AQ384" t="s">
        <v>862</v>
      </c>
      <c r="AR384">
        <v>-77.565321999999995</v>
      </c>
      <c r="AS384">
        <v>25</v>
      </c>
      <c r="AT384">
        <v>1875</v>
      </c>
      <c r="AU384" t="s">
        <v>123</v>
      </c>
      <c r="AV384">
        <v>6</v>
      </c>
      <c r="AW384">
        <v>172</v>
      </c>
      <c r="AX384">
        <v>-64</v>
      </c>
      <c r="AZ384">
        <f t="shared" si="56"/>
        <v>36</v>
      </c>
      <c r="BA384">
        <f t="shared" si="57"/>
        <v>29584</v>
      </c>
      <c r="BB384" s="1">
        <f t="shared" si="58"/>
        <v>172.10461934532728</v>
      </c>
      <c r="BJ384">
        <v>1404</v>
      </c>
      <c r="BK384">
        <v>1</v>
      </c>
      <c r="BL384" t="str">
        <f t="shared" si="52"/>
        <v xml:space="preserve">N600C   </v>
      </c>
      <c r="BM384">
        <v>2</v>
      </c>
      <c r="BO384">
        <v>0</v>
      </c>
      <c r="BP384">
        <v>0</v>
      </c>
      <c r="BQ384">
        <v>0</v>
      </c>
      <c r="BR384">
        <v>2050</v>
      </c>
      <c r="BS384">
        <v>175</v>
      </c>
      <c r="BT384" t="s">
        <v>128</v>
      </c>
      <c r="BU384">
        <v>0</v>
      </c>
      <c r="BV384">
        <v>0</v>
      </c>
      <c r="BW384">
        <v>0</v>
      </c>
      <c r="BX384">
        <v>1</v>
      </c>
      <c r="CA384">
        <v>0</v>
      </c>
      <c r="CB384">
        <v>0</v>
      </c>
      <c r="CC384">
        <v>0</v>
      </c>
      <c r="CM384" t="str">
        <f>"17:47:06.527"</f>
        <v>17:47:06.527</v>
      </c>
      <c r="CN384">
        <v>526856622</v>
      </c>
      <c r="CQ384">
        <v>0</v>
      </c>
      <c r="CR384">
        <v>2496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3</v>
      </c>
      <c r="DB384">
        <v>2</v>
      </c>
      <c r="DC384">
        <v>0</v>
      </c>
      <c r="DD384">
        <v>2</v>
      </c>
      <c r="DE384">
        <v>0</v>
      </c>
      <c r="DF384">
        <v>7</v>
      </c>
      <c r="DG384">
        <v>7</v>
      </c>
      <c r="DH384" t="s">
        <v>124</v>
      </c>
      <c r="DI384">
        <v>407</v>
      </c>
      <c r="DJ384">
        <v>3</v>
      </c>
      <c r="DK384" t="s">
        <v>132</v>
      </c>
      <c r="DL384" t="s">
        <v>133</v>
      </c>
      <c r="DO384">
        <v>1643316</v>
      </c>
      <c r="DQ384">
        <v>0</v>
      </c>
      <c r="DR384">
        <v>0</v>
      </c>
      <c r="DS384">
        <v>1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</row>
    <row r="385" spans="1:131" x14ac:dyDescent="0.35">
      <c r="A385" s="2" t="str">
        <f>"17:47:07.603"</f>
        <v>17:47:07.603</v>
      </c>
      <c r="B385" s="4">
        <f t="shared" si="59"/>
        <v>64027.603000000003</v>
      </c>
      <c r="C385" s="4">
        <f t="shared" si="53"/>
        <v>427.60300000000279</v>
      </c>
      <c r="D385" s="3">
        <f t="shared" si="54"/>
        <v>0.74106021990740745</v>
      </c>
      <c r="E385" s="2">
        <f t="shared" si="55"/>
        <v>0.74106021990740745</v>
      </c>
      <c r="G385" t="str">
        <f t="shared" si="50"/>
        <v>FFDFD7C0</v>
      </c>
      <c r="H385" t="s">
        <v>126</v>
      </c>
      <c r="I385">
        <v>8</v>
      </c>
      <c r="J385">
        <v>1008</v>
      </c>
      <c r="K385" t="s">
        <v>129</v>
      </c>
      <c r="N385" t="s">
        <v>127</v>
      </c>
      <c r="O385">
        <v>0</v>
      </c>
      <c r="P385">
        <v>3</v>
      </c>
      <c r="Q385">
        <v>0</v>
      </c>
      <c r="R385">
        <v>2</v>
      </c>
      <c r="S385">
        <v>1</v>
      </c>
      <c r="T385">
        <v>0</v>
      </c>
      <c r="U385">
        <v>0</v>
      </c>
      <c r="W385" t="str">
        <f>"17:47:07.406"</f>
        <v>17:47:07.406</v>
      </c>
      <c r="X385" t="str">
        <f>"17:47:07.006"</f>
        <v>17:47:07.006</v>
      </c>
      <c r="Y385" t="str">
        <f t="shared" si="51"/>
        <v>A7C771</v>
      </c>
      <c r="Z385">
        <v>0</v>
      </c>
      <c r="AA385">
        <v>0</v>
      </c>
      <c r="AB385">
        <v>2</v>
      </c>
      <c r="AC385">
        <v>0</v>
      </c>
      <c r="AE385">
        <v>0</v>
      </c>
      <c r="AF385">
        <v>8</v>
      </c>
      <c r="AG385">
        <v>3</v>
      </c>
      <c r="AH385">
        <v>0</v>
      </c>
      <c r="AI385">
        <v>9</v>
      </c>
      <c r="AJ385" t="s">
        <v>125</v>
      </c>
      <c r="AK385">
        <v>0</v>
      </c>
      <c r="AL385">
        <v>3</v>
      </c>
      <c r="AM385">
        <v>2</v>
      </c>
      <c r="AN385">
        <v>1</v>
      </c>
      <c r="AO385" t="s">
        <v>863</v>
      </c>
      <c r="AP385">
        <v>43.046751</v>
      </c>
      <c r="AQ385" t="s">
        <v>864</v>
      </c>
      <c r="AR385">
        <v>-77.565299999999993</v>
      </c>
      <c r="AS385">
        <v>25</v>
      </c>
      <c r="AT385">
        <v>1875</v>
      </c>
      <c r="AU385" t="s">
        <v>123</v>
      </c>
      <c r="AV385">
        <v>6</v>
      </c>
      <c r="AW385">
        <v>172</v>
      </c>
      <c r="AX385">
        <v>-64</v>
      </c>
      <c r="AZ385">
        <f t="shared" si="56"/>
        <v>36</v>
      </c>
      <c r="BA385">
        <f t="shared" si="57"/>
        <v>29584</v>
      </c>
      <c r="BB385" s="1">
        <f t="shared" si="58"/>
        <v>172.10461934532728</v>
      </c>
      <c r="BJ385">
        <v>1404</v>
      </c>
      <c r="BK385">
        <v>1</v>
      </c>
      <c r="BL385" t="str">
        <f t="shared" si="52"/>
        <v xml:space="preserve">N600C   </v>
      </c>
      <c r="BM385">
        <v>2</v>
      </c>
      <c r="BO385">
        <v>0</v>
      </c>
      <c r="BP385">
        <v>0</v>
      </c>
      <c r="BQ385">
        <v>0</v>
      </c>
      <c r="BR385">
        <v>2050</v>
      </c>
      <c r="BS385">
        <v>175</v>
      </c>
      <c r="BT385" t="s">
        <v>128</v>
      </c>
      <c r="BU385">
        <v>0</v>
      </c>
      <c r="BV385">
        <v>0</v>
      </c>
      <c r="BW385">
        <v>0</v>
      </c>
      <c r="BX385">
        <v>1</v>
      </c>
      <c r="CA385">
        <v>0</v>
      </c>
      <c r="CB385">
        <v>0</v>
      </c>
      <c r="CC385">
        <v>0</v>
      </c>
      <c r="CM385" t="str">
        <f>"17:47:07.407"</f>
        <v>17:47:07.407</v>
      </c>
      <c r="CN385">
        <v>407032957</v>
      </c>
      <c r="CQ385">
        <v>0</v>
      </c>
      <c r="CR385">
        <v>2496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3</v>
      </c>
      <c r="DB385">
        <v>2</v>
      </c>
      <c r="DC385">
        <v>0</v>
      </c>
      <c r="DD385">
        <v>2</v>
      </c>
      <c r="DE385">
        <v>0</v>
      </c>
      <c r="DF385">
        <v>7</v>
      </c>
      <c r="DG385">
        <v>7</v>
      </c>
      <c r="DH385" t="s">
        <v>124</v>
      </c>
      <c r="DI385">
        <v>71</v>
      </c>
      <c r="DJ385">
        <v>0</v>
      </c>
      <c r="DK385" t="s">
        <v>134</v>
      </c>
      <c r="DL385" t="s">
        <v>135</v>
      </c>
      <c r="DO385">
        <v>10213061</v>
      </c>
      <c r="DQ385">
        <v>0</v>
      </c>
      <c r="DR385">
        <v>0</v>
      </c>
      <c r="DS385">
        <v>1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</row>
    <row r="386" spans="1:131" x14ac:dyDescent="0.35">
      <c r="A386" s="2" t="str">
        <f>"17:47:08.654"</f>
        <v>17:47:08.654</v>
      </c>
      <c r="B386" s="4">
        <f t="shared" si="59"/>
        <v>64028.654000000002</v>
      </c>
      <c r="C386" s="4">
        <f t="shared" si="53"/>
        <v>428.65400000000227</v>
      </c>
      <c r="D386" s="3">
        <f t="shared" si="54"/>
        <v>0.74107238425925925</v>
      </c>
      <c r="E386" s="2">
        <f t="shared" si="55"/>
        <v>0.74107238425925925</v>
      </c>
      <c r="G386" t="str">
        <f t="shared" si="50"/>
        <v>FFDFD7C0</v>
      </c>
      <c r="H386" t="s">
        <v>126</v>
      </c>
      <c r="I386">
        <v>8</v>
      </c>
      <c r="J386">
        <v>1008</v>
      </c>
      <c r="K386" t="s">
        <v>129</v>
      </c>
      <c r="N386" t="s">
        <v>127</v>
      </c>
      <c r="O386">
        <v>0</v>
      </c>
      <c r="P386">
        <v>3</v>
      </c>
      <c r="Q386">
        <v>0</v>
      </c>
      <c r="R386">
        <v>2</v>
      </c>
      <c r="S386">
        <v>1</v>
      </c>
      <c r="T386">
        <v>0</v>
      </c>
      <c r="U386">
        <v>0</v>
      </c>
      <c r="W386" t="str">
        <f>"17:47:08.391"</f>
        <v>17:47:08.391</v>
      </c>
      <c r="X386" t="str">
        <f>"17:47:08.191"</f>
        <v>17:47:08.191</v>
      </c>
      <c r="Y386" t="str">
        <f t="shared" si="51"/>
        <v>A7C771</v>
      </c>
      <c r="Z386">
        <v>0</v>
      </c>
      <c r="AA386">
        <v>0</v>
      </c>
      <c r="AB386">
        <v>2</v>
      </c>
      <c r="AC386">
        <v>0</v>
      </c>
      <c r="AE386">
        <v>0</v>
      </c>
      <c r="AF386">
        <v>8</v>
      </c>
      <c r="AG386">
        <v>3</v>
      </c>
      <c r="AH386">
        <v>0</v>
      </c>
      <c r="AI386">
        <v>9</v>
      </c>
      <c r="AJ386" t="s">
        <v>125</v>
      </c>
      <c r="AK386">
        <v>0</v>
      </c>
      <c r="AL386">
        <v>3</v>
      </c>
      <c r="AM386">
        <v>2</v>
      </c>
      <c r="AN386">
        <v>1</v>
      </c>
      <c r="AO386" t="s">
        <v>865</v>
      </c>
      <c r="AP386">
        <v>43.047545</v>
      </c>
      <c r="AQ386" t="s">
        <v>864</v>
      </c>
      <c r="AR386">
        <v>-77.565299999999993</v>
      </c>
      <c r="AS386">
        <v>25</v>
      </c>
      <c r="AT386">
        <v>1875</v>
      </c>
      <c r="AU386" t="s">
        <v>123</v>
      </c>
      <c r="AV386">
        <v>4</v>
      </c>
      <c r="AW386">
        <v>171</v>
      </c>
      <c r="AX386">
        <v>128</v>
      </c>
      <c r="AZ386">
        <f t="shared" si="56"/>
        <v>16</v>
      </c>
      <c r="BA386">
        <f t="shared" si="57"/>
        <v>29241</v>
      </c>
      <c r="BB386" s="1">
        <f t="shared" si="58"/>
        <v>171.04677722775136</v>
      </c>
      <c r="BJ386">
        <v>1404</v>
      </c>
      <c r="BK386">
        <v>1</v>
      </c>
      <c r="BL386" t="str">
        <f t="shared" si="52"/>
        <v xml:space="preserve">N600C   </v>
      </c>
      <c r="BM386">
        <v>2</v>
      </c>
      <c r="BO386">
        <v>0</v>
      </c>
      <c r="BP386">
        <v>0</v>
      </c>
      <c r="BQ386">
        <v>0</v>
      </c>
      <c r="BR386">
        <v>2050</v>
      </c>
      <c r="BS386">
        <v>175</v>
      </c>
      <c r="BT386" t="s">
        <v>128</v>
      </c>
      <c r="BU386">
        <v>0</v>
      </c>
      <c r="BV386">
        <v>0</v>
      </c>
      <c r="BW386">
        <v>0</v>
      </c>
      <c r="BX386">
        <v>1</v>
      </c>
      <c r="CA386">
        <v>0</v>
      </c>
      <c r="CB386">
        <v>0</v>
      </c>
      <c r="CC386">
        <v>0</v>
      </c>
      <c r="CM386" t="str">
        <f>"17:47:08.391"</f>
        <v>17:47:08.391</v>
      </c>
      <c r="CN386">
        <v>391210584</v>
      </c>
      <c r="CQ386">
        <v>0</v>
      </c>
      <c r="CR386">
        <v>2496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3</v>
      </c>
      <c r="DB386">
        <v>2</v>
      </c>
      <c r="DC386">
        <v>0</v>
      </c>
      <c r="DD386">
        <v>2</v>
      </c>
      <c r="DE386">
        <v>0</v>
      </c>
      <c r="DF386">
        <v>7</v>
      </c>
      <c r="DG386">
        <v>7</v>
      </c>
      <c r="DH386" t="s">
        <v>124</v>
      </c>
      <c r="DI386">
        <v>71</v>
      </c>
      <c r="DJ386">
        <v>1</v>
      </c>
      <c r="DK386" t="s">
        <v>134</v>
      </c>
      <c r="DL386" t="s">
        <v>135</v>
      </c>
      <c r="DO386">
        <v>11572651</v>
      </c>
      <c r="DQ386">
        <v>0</v>
      </c>
      <c r="DR386">
        <v>0</v>
      </c>
      <c r="DS386">
        <v>1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</row>
    <row r="387" spans="1:131" x14ac:dyDescent="0.35">
      <c r="A387" s="2" t="str">
        <f>"17:47:09.647"</f>
        <v>17:47:09.647</v>
      </c>
      <c r="B387" s="4">
        <f t="shared" si="59"/>
        <v>64029.64699999999</v>
      </c>
      <c r="C387" s="4">
        <f t="shared" si="53"/>
        <v>429.64699999998993</v>
      </c>
      <c r="D387" s="3">
        <f t="shared" si="54"/>
        <v>0.74108387731481473</v>
      </c>
      <c r="E387" s="2">
        <f t="shared" si="55"/>
        <v>0.74108387731481473</v>
      </c>
      <c r="G387" t="str">
        <f t="shared" ref="G387:G450" si="60">"FFDFD7C0"</f>
        <v>FFDFD7C0</v>
      </c>
      <c r="H387" t="s">
        <v>126</v>
      </c>
      <c r="I387">
        <v>8</v>
      </c>
      <c r="J387">
        <v>1008</v>
      </c>
      <c r="K387" t="s">
        <v>129</v>
      </c>
      <c r="N387" t="s">
        <v>127</v>
      </c>
      <c r="O387">
        <v>0</v>
      </c>
      <c r="P387">
        <v>3</v>
      </c>
      <c r="Q387">
        <v>0</v>
      </c>
      <c r="R387">
        <v>2</v>
      </c>
      <c r="S387">
        <v>1</v>
      </c>
      <c r="T387">
        <v>0</v>
      </c>
      <c r="U387">
        <v>0</v>
      </c>
      <c r="W387" t="str">
        <f>"17:47:09.461"</f>
        <v>17:47:09.461</v>
      </c>
      <c r="X387" t="str">
        <f>"17:47:09.161"</f>
        <v>17:47:09.161</v>
      </c>
      <c r="Y387" t="str">
        <f t="shared" ref="Y387:Y450" si="61">"A7C771"</f>
        <v>A7C771</v>
      </c>
      <c r="Z387">
        <v>0</v>
      </c>
      <c r="AA387">
        <v>0</v>
      </c>
      <c r="AB387">
        <v>2</v>
      </c>
      <c r="AC387">
        <v>0</v>
      </c>
      <c r="AE387">
        <v>0</v>
      </c>
      <c r="AF387">
        <v>8</v>
      </c>
      <c r="AG387">
        <v>3</v>
      </c>
      <c r="AH387">
        <v>0</v>
      </c>
      <c r="AI387">
        <v>9</v>
      </c>
      <c r="AJ387" t="s">
        <v>125</v>
      </c>
      <c r="AK387">
        <v>0</v>
      </c>
      <c r="AL387">
        <v>3</v>
      </c>
      <c r="AM387">
        <v>2</v>
      </c>
      <c r="AN387">
        <v>1</v>
      </c>
      <c r="AO387" t="s">
        <v>866</v>
      </c>
      <c r="AP387">
        <v>43.048425000000002</v>
      </c>
      <c r="AQ387" t="s">
        <v>867</v>
      </c>
      <c r="AR387">
        <v>-77.565258</v>
      </c>
      <c r="AS387">
        <v>25</v>
      </c>
      <c r="AT387">
        <v>1875</v>
      </c>
      <c r="AU387" t="s">
        <v>123</v>
      </c>
      <c r="AV387">
        <v>3</v>
      </c>
      <c r="AW387">
        <v>171</v>
      </c>
      <c r="AX387">
        <v>192</v>
      </c>
      <c r="AZ387">
        <f t="shared" si="56"/>
        <v>9</v>
      </c>
      <c r="BA387">
        <f t="shared" si="57"/>
        <v>29241</v>
      </c>
      <c r="BB387" s="1">
        <f t="shared" si="58"/>
        <v>171.02631376487071</v>
      </c>
      <c r="BJ387">
        <v>1404</v>
      </c>
      <c r="BK387">
        <v>1</v>
      </c>
      <c r="BL387" t="str">
        <f t="shared" ref="BL387:BL450" si="62">"N600C   "</f>
        <v xml:space="preserve">N600C   </v>
      </c>
      <c r="BM387">
        <v>2</v>
      </c>
      <c r="BO387">
        <v>0</v>
      </c>
      <c r="BP387">
        <v>0</v>
      </c>
      <c r="BQ387">
        <v>0</v>
      </c>
      <c r="BR387">
        <v>2050</v>
      </c>
      <c r="BS387">
        <v>175</v>
      </c>
      <c r="BT387" t="s">
        <v>128</v>
      </c>
      <c r="BU387">
        <v>0</v>
      </c>
      <c r="BV387">
        <v>0</v>
      </c>
      <c r="BW387">
        <v>0</v>
      </c>
      <c r="BX387">
        <v>1</v>
      </c>
      <c r="CA387">
        <v>0</v>
      </c>
      <c r="CB387">
        <v>0</v>
      </c>
      <c r="CC387">
        <v>0</v>
      </c>
      <c r="CM387" t="str">
        <f>"17:47:09.463"</f>
        <v>17:47:09.463</v>
      </c>
      <c r="CN387">
        <v>463401944</v>
      </c>
      <c r="CQ387">
        <v>0</v>
      </c>
      <c r="CR387">
        <v>2496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3</v>
      </c>
      <c r="DB387">
        <v>2</v>
      </c>
      <c r="DC387">
        <v>0</v>
      </c>
      <c r="DD387">
        <v>2</v>
      </c>
      <c r="DE387">
        <v>0</v>
      </c>
      <c r="DF387">
        <v>7</v>
      </c>
      <c r="DG387">
        <v>7</v>
      </c>
      <c r="DH387" t="s">
        <v>124</v>
      </c>
      <c r="DI387">
        <v>407</v>
      </c>
      <c r="DJ387">
        <v>3</v>
      </c>
      <c r="DK387" t="s">
        <v>132</v>
      </c>
      <c r="DL387" t="s">
        <v>133</v>
      </c>
      <c r="DO387">
        <v>1646382</v>
      </c>
      <c r="DQ387">
        <v>0</v>
      </c>
      <c r="DR387">
        <v>0</v>
      </c>
      <c r="DS387">
        <v>1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</row>
    <row r="388" spans="1:131" x14ac:dyDescent="0.35">
      <c r="A388" s="2" t="str">
        <f>"17:47:10.788"</f>
        <v>17:47:10.788</v>
      </c>
      <c r="B388" s="4">
        <f t="shared" si="59"/>
        <v>64030.788</v>
      </c>
      <c r="C388" s="4">
        <f t="shared" ref="C388:C451" si="63">B388-63600</f>
        <v>430.78800000000047</v>
      </c>
      <c r="D388" s="3">
        <f t="shared" ref="D388:D451" si="64">E388</f>
        <v>0.74109708333333335</v>
      </c>
      <c r="E388" s="2">
        <f t="shared" ref="E388:E451" si="65">TIMEVALUE(A388)</f>
        <v>0.74109708333333335</v>
      </c>
      <c r="G388" t="str">
        <f t="shared" si="60"/>
        <v>FFDFD7C0</v>
      </c>
      <c r="H388" t="s">
        <v>126</v>
      </c>
      <c r="I388">
        <v>8</v>
      </c>
      <c r="J388">
        <v>1008</v>
      </c>
      <c r="K388" t="s">
        <v>129</v>
      </c>
      <c r="N388" t="s">
        <v>127</v>
      </c>
      <c r="O388">
        <v>0</v>
      </c>
      <c r="P388">
        <v>3</v>
      </c>
      <c r="Q388">
        <v>0</v>
      </c>
      <c r="R388">
        <v>2</v>
      </c>
      <c r="S388">
        <v>1</v>
      </c>
      <c r="T388">
        <v>0</v>
      </c>
      <c r="U388">
        <v>0</v>
      </c>
      <c r="W388" t="str">
        <f>"17:47:10.469"</f>
        <v>17:47:10.469</v>
      </c>
      <c r="X388" t="str">
        <f>"17:47:10.069"</f>
        <v>17:47:10.069</v>
      </c>
      <c r="Y388" t="str">
        <f t="shared" si="61"/>
        <v>A7C771</v>
      </c>
      <c r="Z388">
        <v>0</v>
      </c>
      <c r="AA388">
        <v>0</v>
      </c>
      <c r="AB388">
        <v>2</v>
      </c>
      <c r="AC388">
        <v>0</v>
      </c>
      <c r="AE388">
        <v>0</v>
      </c>
      <c r="AF388">
        <v>8</v>
      </c>
      <c r="AG388">
        <v>3</v>
      </c>
      <c r="AH388">
        <v>0</v>
      </c>
      <c r="AI388">
        <v>9</v>
      </c>
      <c r="AJ388" t="s">
        <v>125</v>
      </c>
      <c r="AK388">
        <v>0</v>
      </c>
      <c r="AL388">
        <v>3</v>
      </c>
      <c r="AM388">
        <v>2</v>
      </c>
      <c r="AN388">
        <v>1</v>
      </c>
      <c r="AO388" t="s">
        <v>868</v>
      </c>
      <c r="AP388">
        <v>43.049196999999999</v>
      </c>
      <c r="AQ388" t="s">
        <v>867</v>
      </c>
      <c r="AR388">
        <v>-77.565258</v>
      </c>
      <c r="AS388">
        <v>25</v>
      </c>
      <c r="AT388">
        <v>1875</v>
      </c>
      <c r="AU388" t="s">
        <v>123</v>
      </c>
      <c r="AV388">
        <v>3</v>
      </c>
      <c r="AW388">
        <v>171</v>
      </c>
      <c r="AX388">
        <v>192</v>
      </c>
      <c r="AZ388">
        <f t="shared" ref="AZ388:AZ451" si="66">(AV388)^2</f>
        <v>9</v>
      </c>
      <c r="BA388">
        <f t="shared" ref="BA388:BA451" si="67">(AW388)^2</f>
        <v>29241</v>
      </c>
      <c r="BB388" s="1">
        <f t="shared" ref="BB388:BB451" si="68">SQRT(AZ388+BA388)</f>
        <v>171.02631376487071</v>
      </c>
      <c r="BJ388">
        <v>1404</v>
      </c>
      <c r="BK388">
        <v>1</v>
      </c>
      <c r="BL388" t="str">
        <f t="shared" si="62"/>
        <v xml:space="preserve">N600C   </v>
      </c>
      <c r="BM388">
        <v>2</v>
      </c>
      <c r="BO388">
        <v>0</v>
      </c>
      <c r="BP388">
        <v>0</v>
      </c>
      <c r="BQ388">
        <v>0</v>
      </c>
      <c r="BR388">
        <v>2050</v>
      </c>
      <c r="BS388">
        <v>175</v>
      </c>
      <c r="BT388" t="s">
        <v>128</v>
      </c>
      <c r="BU388">
        <v>0</v>
      </c>
      <c r="BV388">
        <v>0</v>
      </c>
      <c r="BW388">
        <v>0</v>
      </c>
      <c r="BX388">
        <v>1</v>
      </c>
      <c r="CA388">
        <v>0</v>
      </c>
      <c r="CB388">
        <v>0</v>
      </c>
      <c r="CC388">
        <v>0</v>
      </c>
      <c r="CM388" t="str">
        <f>"17:47:10.472"</f>
        <v>17:47:10.472</v>
      </c>
      <c r="CN388">
        <v>471590133</v>
      </c>
      <c r="CQ388">
        <v>0</v>
      </c>
      <c r="CR388">
        <v>2496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3</v>
      </c>
      <c r="DB388">
        <v>2</v>
      </c>
      <c r="DC388">
        <v>0</v>
      </c>
      <c r="DD388">
        <v>2</v>
      </c>
      <c r="DE388">
        <v>0</v>
      </c>
      <c r="DF388">
        <v>7</v>
      </c>
      <c r="DG388">
        <v>7</v>
      </c>
      <c r="DH388" t="s">
        <v>124</v>
      </c>
      <c r="DI388">
        <v>71</v>
      </c>
      <c r="DJ388">
        <v>0</v>
      </c>
      <c r="DK388" t="s">
        <v>134</v>
      </c>
      <c r="DL388" t="s">
        <v>135</v>
      </c>
      <c r="DO388">
        <v>10215337</v>
      </c>
      <c r="DQ388">
        <v>0</v>
      </c>
      <c r="DR388">
        <v>0</v>
      </c>
      <c r="DS388">
        <v>1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</row>
    <row r="389" spans="1:131" x14ac:dyDescent="0.35">
      <c r="A389" s="2" t="str">
        <f>"17:47:11.850"</f>
        <v>17:47:11.850</v>
      </c>
      <c r="B389" s="4">
        <f t="shared" si="59"/>
        <v>64031.85</v>
      </c>
      <c r="C389" s="4">
        <f t="shared" si="63"/>
        <v>431.84999999999854</v>
      </c>
      <c r="D389" s="3">
        <f t="shared" si="64"/>
        <v>0.74110937499999996</v>
      </c>
      <c r="E389" s="2">
        <f t="shared" si="65"/>
        <v>0.74110937499999996</v>
      </c>
      <c r="G389" t="str">
        <f t="shared" si="60"/>
        <v>FFDFD7C0</v>
      </c>
      <c r="H389" t="s">
        <v>126</v>
      </c>
      <c r="I389">
        <v>8</v>
      </c>
      <c r="J389">
        <v>1008</v>
      </c>
      <c r="K389" t="s">
        <v>129</v>
      </c>
      <c r="N389" t="s">
        <v>127</v>
      </c>
      <c r="O389">
        <v>0</v>
      </c>
      <c r="P389">
        <v>3</v>
      </c>
      <c r="Q389">
        <v>0</v>
      </c>
      <c r="R389">
        <v>2</v>
      </c>
      <c r="S389">
        <v>1</v>
      </c>
      <c r="T389">
        <v>0</v>
      </c>
      <c r="U389">
        <v>0</v>
      </c>
      <c r="W389" t="str">
        <f>"17:47:11.570"</f>
        <v>17:47:11.570</v>
      </c>
      <c r="X389" t="str">
        <f>"17:47:11.070"</f>
        <v>17:47:11.070</v>
      </c>
      <c r="Y389" t="str">
        <f t="shared" si="61"/>
        <v>A7C771</v>
      </c>
      <c r="Z389">
        <v>0</v>
      </c>
      <c r="AA389">
        <v>0</v>
      </c>
      <c r="AB389">
        <v>2</v>
      </c>
      <c r="AC389">
        <v>0</v>
      </c>
      <c r="AE389">
        <v>0</v>
      </c>
      <c r="AF389">
        <v>8</v>
      </c>
      <c r="AG389">
        <v>3</v>
      </c>
      <c r="AH389">
        <v>0</v>
      </c>
      <c r="AI389">
        <v>9</v>
      </c>
      <c r="AJ389" t="s">
        <v>125</v>
      </c>
      <c r="AK389">
        <v>0</v>
      </c>
      <c r="AL389">
        <v>3</v>
      </c>
      <c r="AM389">
        <v>2</v>
      </c>
      <c r="AN389">
        <v>1</v>
      </c>
      <c r="AO389" t="s">
        <v>870</v>
      </c>
      <c r="AP389">
        <v>43.050077000000002</v>
      </c>
      <c r="AQ389" t="s">
        <v>869</v>
      </c>
      <c r="AR389">
        <v>-77.565235999999999</v>
      </c>
      <c r="AS389">
        <v>25</v>
      </c>
      <c r="AT389">
        <v>1875</v>
      </c>
      <c r="AU389" t="s">
        <v>123</v>
      </c>
      <c r="AV389">
        <v>3</v>
      </c>
      <c r="AW389">
        <v>170</v>
      </c>
      <c r="AX389">
        <v>0</v>
      </c>
      <c r="AZ389">
        <f t="shared" si="66"/>
        <v>9</v>
      </c>
      <c r="BA389">
        <f t="shared" si="67"/>
        <v>28900</v>
      </c>
      <c r="BB389" s="1">
        <f t="shared" si="68"/>
        <v>170.02646852769718</v>
      </c>
      <c r="BJ389">
        <v>1404</v>
      </c>
      <c r="BK389">
        <v>1</v>
      </c>
      <c r="BL389" t="str">
        <f t="shared" si="62"/>
        <v xml:space="preserve">N600C   </v>
      </c>
      <c r="BM389">
        <v>2</v>
      </c>
      <c r="BO389">
        <v>0</v>
      </c>
      <c r="BP389">
        <v>0</v>
      </c>
      <c r="BQ389">
        <v>0</v>
      </c>
      <c r="BR389">
        <v>2050</v>
      </c>
      <c r="BS389">
        <v>175</v>
      </c>
      <c r="BT389" t="s">
        <v>128</v>
      </c>
      <c r="BU389">
        <v>0</v>
      </c>
      <c r="BV389">
        <v>0</v>
      </c>
      <c r="BW389">
        <v>0</v>
      </c>
      <c r="BX389">
        <v>1</v>
      </c>
      <c r="CA389">
        <v>0</v>
      </c>
      <c r="CB389">
        <v>0</v>
      </c>
      <c r="CC389">
        <v>0</v>
      </c>
      <c r="CM389" t="str">
        <f>"17:47:11.576"</f>
        <v>17:47:11.576</v>
      </c>
      <c r="CN389">
        <v>575799030</v>
      </c>
      <c r="CQ389">
        <v>0</v>
      </c>
      <c r="CR389">
        <v>2496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3</v>
      </c>
      <c r="DB389">
        <v>2</v>
      </c>
      <c r="DC389">
        <v>0</v>
      </c>
      <c r="DD389">
        <v>2</v>
      </c>
      <c r="DE389">
        <v>0</v>
      </c>
      <c r="DF389">
        <v>7</v>
      </c>
      <c r="DG389">
        <v>7</v>
      </c>
      <c r="DH389" t="s">
        <v>124</v>
      </c>
      <c r="DI389">
        <v>71</v>
      </c>
      <c r="DJ389">
        <v>0</v>
      </c>
      <c r="DK389" t="s">
        <v>134</v>
      </c>
      <c r="DL389" t="s">
        <v>135</v>
      </c>
      <c r="DO389">
        <v>10216202</v>
      </c>
      <c r="DQ389">
        <v>0</v>
      </c>
      <c r="DR389">
        <v>0</v>
      </c>
      <c r="DS389">
        <v>1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</row>
    <row r="390" spans="1:131" x14ac:dyDescent="0.35">
      <c r="A390" s="2" t="str">
        <f>"17:47:12.725"</f>
        <v>17:47:12.725</v>
      </c>
      <c r="B390" s="4">
        <f t="shared" si="59"/>
        <v>64032.724999999999</v>
      </c>
      <c r="C390" s="4">
        <f t="shared" si="63"/>
        <v>432.72499999999854</v>
      </c>
      <c r="D390" s="3">
        <f t="shared" si="64"/>
        <v>0.74111950231481483</v>
      </c>
      <c r="E390" s="2">
        <f t="shared" si="65"/>
        <v>0.74111950231481483</v>
      </c>
      <c r="G390" t="str">
        <f t="shared" si="60"/>
        <v>FFDFD7C0</v>
      </c>
      <c r="H390" t="s">
        <v>126</v>
      </c>
      <c r="I390">
        <v>8</v>
      </c>
      <c r="J390">
        <v>1008</v>
      </c>
      <c r="K390" t="s">
        <v>129</v>
      </c>
      <c r="N390" t="s">
        <v>127</v>
      </c>
      <c r="O390">
        <v>0</v>
      </c>
      <c r="P390">
        <v>3</v>
      </c>
      <c r="Q390">
        <v>0</v>
      </c>
      <c r="R390">
        <v>2</v>
      </c>
      <c r="S390">
        <v>1</v>
      </c>
      <c r="T390">
        <v>0</v>
      </c>
      <c r="U390">
        <v>0</v>
      </c>
      <c r="W390" t="str">
        <f>"17:47:12.492"</f>
        <v>17:47:12.492</v>
      </c>
      <c r="X390" t="str">
        <f>"17:47:12.092"</f>
        <v>17:47:12.092</v>
      </c>
      <c r="Y390" t="str">
        <f t="shared" si="61"/>
        <v>A7C771</v>
      </c>
      <c r="Z390">
        <v>0</v>
      </c>
      <c r="AA390">
        <v>0</v>
      </c>
      <c r="AB390">
        <v>2</v>
      </c>
      <c r="AC390">
        <v>0</v>
      </c>
      <c r="AE390">
        <v>0</v>
      </c>
      <c r="AF390">
        <v>8</v>
      </c>
      <c r="AG390">
        <v>3</v>
      </c>
      <c r="AH390">
        <v>0</v>
      </c>
      <c r="AI390">
        <v>9</v>
      </c>
      <c r="AJ390" t="s">
        <v>125</v>
      </c>
      <c r="AK390">
        <v>0</v>
      </c>
      <c r="AL390">
        <v>3</v>
      </c>
      <c r="AM390">
        <v>2</v>
      </c>
      <c r="AN390">
        <v>1</v>
      </c>
      <c r="AO390" t="s">
        <v>872</v>
      </c>
      <c r="AP390">
        <v>43.050806999999999</v>
      </c>
      <c r="AQ390" t="s">
        <v>871</v>
      </c>
      <c r="AR390">
        <v>-77.565192999999994</v>
      </c>
      <c r="AS390">
        <v>25</v>
      </c>
      <c r="AT390">
        <v>1875</v>
      </c>
      <c r="AU390" t="s">
        <v>123</v>
      </c>
      <c r="AV390">
        <v>3</v>
      </c>
      <c r="AW390">
        <v>170</v>
      </c>
      <c r="AX390">
        <v>0</v>
      </c>
      <c r="AZ390">
        <f t="shared" si="66"/>
        <v>9</v>
      </c>
      <c r="BA390">
        <f t="shared" si="67"/>
        <v>28900</v>
      </c>
      <c r="BB390" s="1">
        <f t="shared" si="68"/>
        <v>170.02646852769718</v>
      </c>
      <c r="BJ390">
        <v>1404</v>
      </c>
      <c r="BK390">
        <v>1</v>
      </c>
      <c r="BL390" t="str">
        <f t="shared" si="62"/>
        <v xml:space="preserve">N600C   </v>
      </c>
      <c r="BM390">
        <v>2</v>
      </c>
      <c r="BO390">
        <v>0</v>
      </c>
      <c r="BP390">
        <v>0</v>
      </c>
      <c r="BQ390">
        <v>0</v>
      </c>
      <c r="BR390">
        <v>2050</v>
      </c>
      <c r="BS390">
        <v>175</v>
      </c>
      <c r="BT390" t="s">
        <v>128</v>
      </c>
      <c r="BU390">
        <v>0</v>
      </c>
      <c r="BV390">
        <v>0</v>
      </c>
      <c r="BW390">
        <v>0</v>
      </c>
      <c r="BX390">
        <v>1</v>
      </c>
      <c r="CA390">
        <v>0</v>
      </c>
      <c r="CB390">
        <v>0</v>
      </c>
      <c r="CC390">
        <v>0</v>
      </c>
      <c r="CM390" t="str">
        <f>"17:47:12.496"</f>
        <v>17:47:12.496</v>
      </c>
      <c r="CN390">
        <v>495970975</v>
      </c>
      <c r="CQ390">
        <v>0</v>
      </c>
      <c r="CR390">
        <v>2496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3</v>
      </c>
      <c r="DB390">
        <v>2</v>
      </c>
      <c r="DC390">
        <v>0</v>
      </c>
      <c r="DD390">
        <v>2</v>
      </c>
      <c r="DE390">
        <v>0</v>
      </c>
      <c r="DF390">
        <v>7</v>
      </c>
      <c r="DG390">
        <v>7</v>
      </c>
      <c r="DH390" t="s">
        <v>124</v>
      </c>
      <c r="DI390">
        <v>71</v>
      </c>
      <c r="DJ390">
        <v>1</v>
      </c>
      <c r="DK390" t="s">
        <v>134</v>
      </c>
      <c r="DL390" t="s">
        <v>135</v>
      </c>
      <c r="DO390">
        <v>11576154</v>
      </c>
      <c r="DQ390">
        <v>0</v>
      </c>
      <c r="DR390">
        <v>0</v>
      </c>
      <c r="DS390">
        <v>1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</row>
    <row r="391" spans="1:131" x14ac:dyDescent="0.35">
      <c r="A391" s="2" t="str">
        <f>"17:47:13.758"</f>
        <v>17:47:13.758</v>
      </c>
      <c r="B391" s="4">
        <f t="shared" ref="B391:B454" si="69">E391*86400</f>
        <v>64033.758000000002</v>
      </c>
      <c r="C391" s="4">
        <f t="shared" si="63"/>
        <v>433.75800000000163</v>
      </c>
      <c r="D391" s="3">
        <f t="shared" si="64"/>
        <v>0.74113145833333338</v>
      </c>
      <c r="E391" s="2">
        <f t="shared" si="65"/>
        <v>0.74113145833333338</v>
      </c>
      <c r="G391" t="str">
        <f t="shared" si="60"/>
        <v>FFDFD7C0</v>
      </c>
      <c r="H391" t="s">
        <v>126</v>
      </c>
      <c r="I391">
        <v>8</v>
      </c>
      <c r="J391">
        <v>1008</v>
      </c>
      <c r="K391" t="s">
        <v>129</v>
      </c>
      <c r="N391" t="s">
        <v>127</v>
      </c>
      <c r="O391">
        <v>0</v>
      </c>
      <c r="P391">
        <v>3</v>
      </c>
      <c r="Q391">
        <v>0</v>
      </c>
      <c r="R391">
        <v>2</v>
      </c>
      <c r="S391">
        <v>1</v>
      </c>
      <c r="T391">
        <v>0</v>
      </c>
      <c r="U391">
        <v>0</v>
      </c>
      <c r="W391" t="str">
        <f>"17:47:13.453"</f>
        <v>17:47:13.453</v>
      </c>
      <c r="X391" t="str">
        <f>"17:47:13.153"</f>
        <v>17:47:13.153</v>
      </c>
      <c r="Y391" t="str">
        <f t="shared" si="61"/>
        <v>A7C771</v>
      </c>
      <c r="Z391">
        <v>0</v>
      </c>
      <c r="AA391">
        <v>0</v>
      </c>
      <c r="AB391">
        <v>2</v>
      </c>
      <c r="AC391">
        <v>0</v>
      </c>
      <c r="AE391">
        <v>0</v>
      </c>
      <c r="AF391">
        <v>8</v>
      </c>
      <c r="AG391">
        <v>3</v>
      </c>
      <c r="AH391">
        <v>0</v>
      </c>
      <c r="AI391">
        <v>9</v>
      </c>
      <c r="AJ391" t="s">
        <v>125</v>
      </c>
      <c r="AK391">
        <v>0</v>
      </c>
      <c r="AL391">
        <v>3</v>
      </c>
      <c r="AM391">
        <v>2</v>
      </c>
      <c r="AN391">
        <v>1</v>
      </c>
      <c r="AO391" t="s">
        <v>873</v>
      </c>
      <c r="AP391">
        <v>43.051471999999997</v>
      </c>
      <c r="AQ391" t="s">
        <v>874</v>
      </c>
      <c r="AR391">
        <v>-77.565172000000004</v>
      </c>
      <c r="AS391">
        <v>25</v>
      </c>
      <c r="AT391">
        <v>1875</v>
      </c>
      <c r="AU391" t="s">
        <v>123</v>
      </c>
      <c r="AV391">
        <v>3</v>
      </c>
      <c r="AW391">
        <v>169</v>
      </c>
      <c r="AX391">
        <v>-64</v>
      </c>
      <c r="AZ391">
        <f t="shared" si="66"/>
        <v>9</v>
      </c>
      <c r="BA391">
        <f t="shared" si="67"/>
        <v>28561</v>
      </c>
      <c r="BB391" s="1">
        <f t="shared" si="68"/>
        <v>169.0266251216062</v>
      </c>
      <c r="BJ391">
        <v>1404</v>
      </c>
      <c r="BK391">
        <v>1</v>
      </c>
      <c r="BL391" t="str">
        <f t="shared" si="62"/>
        <v xml:space="preserve">N600C   </v>
      </c>
      <c r="BM391">
        <v>2</v>
      </c>
      <c r="BO391">
        <v>0</v>
      </c>
      <c r="BP391">
        <v>0</v>
      </c>
      <c r="BQ391">
        <v>0</v>
      </c>
      <c r="BR391">
        <v>2050</v>
      </c>
      <c r="BS391">
        <v>175</v>
      </c>
      <c r="BT391" t="s">
        <v>128</v>
      </c>
      <c r="BU391">
        <v>0</v>
      </c>
      <c r="BV391">
        <v>0</v>
      </c>
      <c r="BW391">
        <v>0</v>
      </c>
      <c r="BX391">
        <v>1</v>
      </c>
      <c r="CA391">
        <v>0</v>
      </c>
      <c r="CB391">
        <v>0</v>
      </c>
      <c r="CC391">
        <v>0</v>
      </c>
      <c r="CM391" t="str">
        <f>"17:47:13.456"</f>
        <v>17:47:13.456</v>
      </c>
      <c r="CN391">
        <v>456153952</v>
      </c>
      <c r="CQ391">
        <v>0</v>
      </c>
      <c r="CR391">
        <v>2496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3</v>
      </c>
      <c r="DB391">
        <v>2</v>
      </c>
      <c r="DC391">
        <v>0</v>
      </c>
      <c r="DD391">
        <v>2</v>
      </c>
      <c r="DE391">
        <v>0</v>
      </c>
      <c r="DF391">
        <v>7</v>
      </c>
      <c r="DG391">
        <v>7</v>
      </c>
      <c r="DH391" t="s">
        <v>124</v>
      </c>
      <c r="DI391">
        <v>71</v>
      </c>
      <c r="DJ391">
        <v>1</v>
      </c>
      <c r="DK391" t="s">
        <v>134</v>
      </c>
      <c r="DL391" t="s">
        <v>135</v>
      </c>
      <c r="DO391">
        <v>11577034</v>
      </c>
      <c r="DQ391">
        <v>0</v>
      </c>
      <c r="DR391">
        <v>0</v>
      </c>
      <c r="DS391">
        <v>1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</row>
    <row r="392" spans="1:131" x14ac:dyDescent="0.35">
      <c r="A392" s="2" t="str">
        <f>"17:47:14.662"</f>
        <v>17:47:14.662</v>
      </c>
      <c r="B392" s="4">
        <f t="shared" si="69"/>
        <v>64034.662000000004</v>
      </c>
      <c r="C392" s="4">
        <f t="shared" si="63"/>
        <v>434.6620000000039</v>
      </c>
      <c r="D392" s="3">
        <f t="shared" si="64"/>
        <v>0.7411419212962963</v>
      </c>
      <c r="E392" s="2">
        <f t="shared" si="65"/>
        <v>0.7411419212962963</v>
      </c>
      <c r="G392" t="str">
        <f t="shared" si="60"/>
        <v>FFDFD7C0</v>
      </c>
      <c r="H392" t="s">
        <v>126</v>
      </c>
      <c r="I392">
        <v>8</v>
      </c>
      <c r="J392">
        <v>1008</v>
      </c>
      <c r="K392" t="s">
        <v>129</v>
      </c>
      <c r="N392" t="s">
        <v>127</v>
      </c>
      <c r="O392">
        <v>0</v>
      </c>
      <c r="P392">
        <v>3</v>
      </c>
      <c r="Q392">
        <v>0</v>
      </c>
      <c r="R392">
        <v>2</v>
      </c>
      <c r="S392">
        <v>1</v>
      </c>
      <c r="T392">
        <v>0</v>
      </c>
      <c r="U392">
        <v>0</v>
      </c>
      <c r="W392" t="str">
        <f>"17:47:14.430"</f>
        <v>17:47:14.430</v>
      </c>
      <c r="X392" t="str">
        <f>"17:47:14.330"</f>
        <v>17:47:14.330</v>
      </c>
      <c r="Y392" t="str">
        <f t="shared" si="61"/>
        <v>A7C771</v>
      </c>
      <c r="Z392">
        <v>0</v>
      </c>
      <c r="AA392">
        <v>0</v>
      </c>
      <c r="AB392">
        <v>2</v>
      </c>
      <c r="AC392">
        <v>0</v>
      </c>
      <c r="AE392">
        <v>0</v>
      </c>
      <c r="AF392">
        <v>8</v>
      </c>
      <c r="AG392">
        <v>3</v>
      </c>
      <c r="AH392">
        <v>0</v>
      </c>
      <c r="AI392">
        <v>9</v>
      </c>
      <c r="AJ392" t="s">
        <v>125</v>
      </c>
      <c r="AK392">
        <v>0</v>
      </c>
      <c r="AL392">
        <v>3</v>
      </c>
      <c r="AM392">
        <v>2</v>
      </c>
      <c r="AN392">
        <v>1</v>
      </c>
      <c r="AO392" t="s">
        <v>875</v>
      </c>
      <c r="AP392">
        <v>43.052244000000002</v>
      </c>
      <c r="AQ392" t="s">
        <v>874</v>
      </c>
      <c r="AR392">
        <v>-77.565172000000004</v>
      </c>
      <c r="AS392">
        <v>25</v>
      </c>
      <c r="AT392">
        <v>1875</v>
      </c>
      <c r="AU392" t="s">
        <v>123</v>
      </c>
      <c r="AV392">
        <v>3</v>
      </c>
      <c r="AW392">
        <v>169</v>
      </c>
      <c r="AX392">
        <v>-64</v>
      </c>
      <c r="AZ392">
        <f t="shared" si="66"/>
        <v>9</v>
      </c>
      <c r="BA392">
        <f t="shared" si="67"/>
        <v>28561</v>
      </c>
      <c r="BB392" s="1">
        <f t="shared" si="68"/>
        <v>169.0266251216062</v>
      </c>
      <c r="BJ392">
        <v>1404</v>
      </c>
      <c r="BK392">
        <v>1</v>
      </c>
      <c r="BL392" t="str">
        <f t="shared" si="62"/>
        <v xml:space="preserve">N600C   </v>
      </c>
      <c r="BM392">
        <v>2</v>
      </c>
      <c r="BO392">
        <v>0</v>
      </c>
      <c r="BP392">
        <v>0</v>
      </c>
      <c r="BQ392">
        <v>0</v>
      </c>
      <c r="BR392">
        <v>2050</v>
      </c>
      <c r="BS392">
        <v>175</v>
      </c>
      <c r="BT392" t="s">
        <v>128</v>
      </c>
      <c r="BU392">
        <v>0</v>
      </c>
      <c r="BV392">
        <v>0</v>
      </c>
      <c r="BW392">
        <v>0</v>
      </c>
      <c r="BX392">
        <v>1</v>
      </c>
      <c r="CA392">
        <v>0</v>
      </c>
      <c r="CB392">
        <v>0</v>
      </c>
      <c r="CC392">
        <v>0</v>
      </c>
      <c r="CM392" t="str">
        <f>"17:47:14.432"</f>
        <v>17:47:14.432</v>
      </c>
      <c r="CN392">
        <v>432332244</v>
      </c>
      <c r="CQ392">
        <v>0</v>
      </c>
      <c r="CR392">
        <v>2496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3</v>
      </c>
      <c r="DB392">
        <v>2</v>
      </c>
      <c r="DC392">
        <v>0</v>
      </c>
      <c r="DD392">
        <v>2</v>
      </c>
      <c r="DE392">
        <v>0</v>
      </c>
      <c r="DF392">
        <v>7</v>
      </c>
      <c r="DG392">
        <v>7</v>
      </c>
      <c r="DH392" t="s">
        <v>124</v>
      </c>
      <c r="DI392">
        <v>71</v>
      </c>
      <c r="DJ392">
        <v>0</v>
      </c>
      <c r="DK392" t="s">
        <v>134</v>
      </c>
      <c r="DL392" t="s">
        <v>135</v>
      </c>
      <c r="DO392">
        <v>10218283</v>
      </c>
      <c r="DQ392">
        <v>0</v>
      </c>
      <c r="DR392">
        <v>0</v>
      </c>
      <c r="DS392">
        <v>1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</row>
    <row r="393" spans="1:131" x14ac:dyDescent="0.35">
      <c r="A393" s="2" t="str">
        <f>"17:47:15.694"</f>
        <v>17:47:15.694</v>
      </c>
      <c r="B393" s="4">
        <f t="shared" si="69"/>
        <v>64035.69400000001</v>
      </c>
      <c r="C393" s="4">
        <f t="shared" si="63"/>
        <v>435.69400000001042</v>
      </c>
      <c r="D393" s="3">
        <f t="shared" si="64"/>
        <v>0.74115386574074082</v>
      </c>
      <c r="E393" s="2">
        <f t="shared" si="65"/>
        <v>0.74115386574074082</v>
      </c>
      <c r="G393" t="str">
        <f t="shared" si="60"/>
        <v>FFDFD7C0</v>
      </c>
      <c r="H393" t="s">
        <v>126</v>
      </c>
      <c r="I393">
        <v>8</v>
      </c>
      <c r="J393">
        <v>1008</v>
      </c>
      <c r="K393" t="s">
        <v>129</v>
      </c>
      <c r="N393" t="s">
        <v>127</v>
      </c>
      <c r="O393">
        <v>0</v>
      </c>
      <c r="P393">
        <v>3</v>
      </c>
      <c r="Q393">
        <v>0</v>
      </c>
      <c r="R393">
        <v>2</v>
      </c>
      <c r="S393">
        <v>1</v>
      </c>
      <c r="T393">
        <v>0</v>
      </c>
      <c r="U393">
        <v>0</v>
      </c>
      <c r="W393" t="str">
        <f>"17:47:15.352"</f>
        <v>17:47:15.352</v>
      </c>
      <c r="X393" t="str">
        <f>"17:47:15.152"</f>
        <v>17:47:15.152</v>
      </c>
      <c r="Y393" t="str">
        <f t="shared" si="61"/>
        <v>A7C771</v>
      </c>
      <c r="Z393">
        <v>0</v>
      </c>
      <c r="AA393">
        <v>0</v>
      </c>
      <c r="AB393">
        <v>2</v>
      </c>
      <c r="AC393">
        <v>0</v>
      </c>
      <c r="AE393">
        <v>0</v>
      </c>
      <c r="AF393">
        <v>8</v>
      </c>
      <c r="AG393">
        <v>3</v>
      </c>
      <c r="AH393">
        <v>0</v>
      </c>
      <c r="AI393">
        <v>9</v>
      </c>
      <c r="AJ393" t="s">
        <v>125</v>
      </c>
      <c r="AK393">
        <v>0</v>
      </c>
      <c r="AL393">
        <v>3</v>
      </c>
      <c r="AM393">
        <v>2</v>
      </c>
      <c r="AN393">
        <v>1</v>
      </c>
      <c r="AO393" t="s">
        <v>876</v>
      </c>
      <c r="AP393">
        <v>43.052995000000003</v>
      </c>
      <c r="AQ393" t="s">
        <v>871</v>
      </c>
      <c r="AR393">
        <v>-77.565192999999994</v>
      </c>
      <c r="AS393">
        <v>25</v>
      </c>
      <c r="AT393">
        <v>1875</v>
      </c>
      <c r="AU393" t="s">
        <v>123</v>
      </c>
      <c r="AV393">
        <v>3</v>
      </c>
      <c r="AW393">
        <v>169</v>
      </c>
      <c r="AX393">
        <v>0</v>
      </c>
      <c r="AZ393">
        <f t="shared" si="66"/>
        <v>9</v>
      </c>
      <c r="BA393">
        <f t="shared" si="67"/>
        <v>28561</v>
      </c>
      <c r="BB393" s="1">
        <f t="shared" si="68"/>
        <v>169.0266251216062</v>
      </c>
      <c r="BJ393">
        <v>1404</v>
      </c>
      <c r="BK393">
        <v>1</v>
      </c>
      <c r="BL393" t="str">
        <f t="shared" si="62"/>
        <v xml:space="preserve">N600C   </v>
      </c>
      <c r="BM393">
        <v>2</v>
      </c>
      <c r="BO393">
        <v>0</v>
      </c>
      <c r="BP393">
        <v>0</v>
      </c>
      <c r="BQ393">
        <v>0</v>
      </c>
      <c r="BR393">
        <v>2050</v>
      </c>
      <c r="BS393">
        <v>175</v>
      </c>
      <c r="BT393" t="s">
        <v>128</v>
      </c>
      <c r="BU393">
        <v>0</v>
      </c>
      <c r="BV393">
        <v>0</v>
      </c>
      <c r="BW393">
        <v>0</v>
      </c>
      <c r="BX393">
        <v>1</v>
      </c>
      <c r="CA393">
        <v>0</v>
      </c>
      <c r="CB393">
        <v>0</v>
      </c>
      <c r="CC393">
        <v>0</v>
      </c>
      <c r="CM393" t="str">
        <f>"17:47:15.352"</f>
        <v>17:47:15.352</v>
      </c>
      <c r="CN393">
        <v>352498343</v>
      </c>
      <c r="CQ393">
        <v>0</v>
      </c>
      <c r="CR393">
        <v>2496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3</v>
      </c>
      <c r="DB393">
        <v>2</v>
      </c>
      <c r="DC393">
        <v>0</v>
      </c>
      <c r="DD393">
        <v>2</v>
      </c>
      <c r="DE393">
        <v>0</v>
      </c>
      <c r="DF393">
        <v>7</v>
      </c>
      <c r="DG393">
        <v>7</v>
      </c>
      <c r="DH393" t="s">
        <v>124</v>
      </c>
      <c r="DI393">
        <v>71</v>
      </c>
      <c r="DJ393">
        <v>1</v>
      </c>
      <c r="DK393" t="s">
        <v>134</v>
      </c>
      <c r="DL393" t="s">
        <v>135</v>
      </c>
      <c r="DO393">
        <v>11578594</v>
      </c>
      <c r="DQ393">
        <v>0</v>
      </c>
      <c r="DR393">
        <v>0</v>
      </c>
      <c r="DS393">
        <v>1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</row>
    <row r="394" spans="1:131" x14ac:dyDescent="0.35">
      <c r="A394" s="2" t="str">
        <f>"17:47:16.553"</f>
        <v>17:47:16.553</v>
      </c>
      <c r="B394" s="4">
        <f t="shared" si="69"/>
        <v>64036.553</v>
      </c>
      <c r="C394" s="4">
        <f t="shared" si="63"/>
        <v>436.55299999999988</v>
      </c>
      <c r="D394" s="3">
        <f t="shared" si="64"/>
        <v>0.74116380787037039</v>
      </c>
      <c r="E394" s="2">
        <f t="shared" si="65"/>
        <v>0.74116380787037039</v>
      </c>
      <c r="G394" t="str">
        <f t="shared" si="60"/>
        <v>FFDFD7C0</v>
      </c>
      <c r="H394" t="s">
        <v>126</v>
      </c>
      <c r="I394">
        <v>8</v>
      </c>
      <c r="J394">
        <v>1008</v>
      </c>
      <c r="K394" t="s">
        <v>129</v>
      </c>
      <c r="N394" t="s">
        <v>127</v>
      </c>
      <c r="O394">
        <v>0</v>
      </c>
      <c r="P394">
        <v>3</v>
      </c>
      <c r="Q394">
        <v>0</v>
      </c>
      <c r="R394">
        <v>2</v>
      </c>
      <c r="S394">
        <v>1</v>
      </c>
      <c r="T394">
        <v>0</v>
      </c>
      <c r="U394">
        <v>0</v>
      </c>
      <c r="W394" t="str">
        <f>"17:47:16.242"</f>
        <v>17:47:16.242</v>
      </c>
      <c r="X394" t="str">
        <f>"17:47:16.242"</f>
        <v>17:47:16.242</v>
      </c>
      <c r="Y394" t="str">
        <f t="shared" si="61"/>
        <v>A7C771</v>
      </c>
      <c r="Z394">
        <v>0</v>
      </c>
      <c r="AA394">
        <v>0</v>
      </c>
      <c r="AB394">
        <v>2</v>
      </c>
      <c r="AC394">
        <v>0</v>
      </c>
      <c r="AE394">
        <v>0</v>
      </c>
      <c r="AF394">
        <v>8</v>
      </c>
      <c r="AG394">
        <v>3</v>
      </c>
      <c r="AH394">
        <v>0</v>
      </c>
      <c r="AI394">
        <v>9</v>
      </c>
      <c r="AJ394" t="s">
        <v>125</v>
      </c>
      <c r="AK394">
        <v>0</v>
      </c>
      <c r="AL394">
        <v>3</v>
      </c>
      <c r="AM394">
        <v>2</v>
      </c>
      <c r="AN394">
        <v>1</v>
      </c>
      <c r="AO394" t="s">
        <v>877</v>
      </c>
      <c r="AP394">
        <v>43.053702999999999</v>
      </c>
      <c r="AQ394" t="s">
        <v>874</v>
      </c>
      <c r="AR394">
        <v>-77.565172000000004</v>
      </c>
      <c r="AS394">
        <v>25</v>
      </c>
      <c r="AT394">
        <v>1875</v>
      </c>
      <c r="AU394" t="s">
        <v>123</v>
      </c>
      <c r="AV394">
        <v>1</v>
      </c>
      <c r="AW394">
        <v>169</v>
      </c>
      <c r="AX394">
        <v>-64</v>
      </c>
      <c r="AZ394">
        <f t="shared" si="66"/>
        <v>1</v>
      </c>
      <c r="BA394">
        <f t="shared" si="67"/>
        <v>28561</v>
      </c>
      <c r="BB394" s="1">
        <f t="shared" si="68"/>
        <v>169.00295855398508</v>
      </c>
      <c r="BJ394">
        <v>1404</v>
      </c>
      <c r="BK394">
        <v>1</v>
      </c>
      <c r="BL394" t="str">
        <f t="shared" si="62"/>
        <v xml:space="preserve">N600C   </v>
      </c>
      <c r="BM394">
        <v>2</v>
      </c>
      <c r="BO394">
        <v>0</v>
      </c>
      <c r="BP394">
        <v>0</v>
      </c>
      <c r="BQ394">
        <v>0</v>
      </c>
      <c r="BR394">
        <v>2050</v>
      </c>
      <c r="BS394">
        <v>175</v>
      </c>
      <c r="BT394" t="s">
        <v>128</v>
      </c>
      <c r="BU394">
        <v>0</v>
      </c>
      <c r="BV394">
        <v>0</v>
      </c>
      <c r="BW394">
        <v>0</v>
      </c>
      <c r="BX394">
        <v>1</v>
      </c>
      <c r="CA394">
        <v>0</v>
      </c>
      <c r="CB394">
        <v>0</v>
      </c>
      <c r="CC394">
        <v>0</v>
      </c>
      <c r="CM394" t="str">
        <f>"17:47:16.249"</f>
        <v>17:47:16.249</v>
      </c>
      <c r="CN394">
        <v>248665343</v>
      </c>
      <c r="CQ394">
        <v>0</v>
      </c>
      <c r="CR394">
        <v>2496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3</v>
      </c>
      <c r="DB394">
        <v>2</v>
      </c>
      <c r="DC394">
        <v>0</v>
      </c>
      <c r="DD394">
        <v>2</v>
      </c>
      <c r="DE394">
        <v>0</v>
      </c>
      <c r="DF394">
        <v>7</v>
      </c>
      <c r="DG394">
        <v>7</v>
      </c>
      <c r="DH394" t="s">
        <v>124</v>
      </c>
      <c r="DI394">
        <v>71</v>
      </c>
      <c r="DJ394">
        <v>1</v>
      </c>
      <c r="DK394" t="s">
        <v>134</v>
      </c>
      <c r="DL394" t="s">
        <v>135</v>
      </c>
      <c r="DO394">
        <v>11579426</v>
      </c>
      <c r="DQ394">
        <v>0</v>
      </c>
      <c r="DR394">
        <v>0</v>
      </c>
      <c r="DS394">
        <v>1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</row>
    <row r="395" spans="1:131" x14ac:dyDescent="0.35">
      <c r="A395" s="2" t="str">
        <f>"17:47:17.600"</f>
        <v>17:47:17.600</v>
      </c>
      <c r="B395" s="4">
        <f t="shared" si="69"/>
        <v>64037.600000000006</v>
      </c>
      <c r="C395" s="4">
        <f t="shared" si="63"/>
        <v>437.60000000000582</v>
      </c>
      <c r="D395" s="3">
        <f t="shared" si="64"/>
        <v>0.74117592592592596</v>
      </c>
      <c r="E395" s="2">
        <f t="shared" si="65"/>
        <v>0.74117592592592596</v>
      </c>
      <c r="G395" t="str">
        <f t="shared" si="60"/>
        <v>FFDFD7C0</v>
      </c>
      <c r="H395" t="s">
        <v>126</v>
      </c>
      <c r="I395">
        <v>8</v>
      </c>
      <c r="J395">
        <v>1008</v>
      </c>
      <c r="K395" t="s">
        <v>129</v>
      </c>
      <c r="N395" t="s">
        <v>127</v>
      </c>
      <c r="O395">
        <v>0</v>
      </c>
      <c r="P395">
        <v>3</v>
      </c>
      <c r="Q395">
        <v>0</v>
      </c>
      <c r="R395">
        <v>2</v>
      </c>
      <c r="S395">
        <v>1</v>
      </c>
      <c r="T395">
        <v>0</v>
      </c>
      <c r="U395">
        <v>0</v>
      </c>
      <c r="W395" t="str">
        <f>"17:47:17.336"</f>
        <v>17:47:17.336</v>
      </c>
      <c r="X395" t="str">
        <f>"17:47:17.236"</f>
        <v>17:47:17.236</v>
      </c>
      <c r="Y395" t="str">
        <f t="shared" si="61"/>
        <v>A7C771</v>
      </c>
      <c r="Z395">
        <v>0</v>
      </c>
      <c r="AA395">
        <v>0</v>
      </c>
      <c r="AB395">
        <v>2</v>
      </c>
      <c r="AC395">
        <v>0</v>
      </c>
      <c r="AE395">
        <v>0</v>
      </c>
      <c r="AF395">
        <v>8</v>
      </c>
      <c r="AG395">
        <v>3</v>
      </c>
      <c r="AH395">
        <v>0</v>
      </c>
      <c r="AI395">
        <v>9</v>
      </c>
      <c r="AJ395" t="s">
        <v>125</v>
      </c>
      <c r="AK395">
        <v>0</v>
      </c>
      <c r="AL395">
        <v>3</v>
      </c>
      <c r="AM395">
        <v>2</v>
      </c>
      <c r="AN395">
        <v>1</v>
      </c>
      <c r="AO395" t="s">
        <v>878</v>
      </c>
      <c r="AP395">
        <v>43.054540000000003</v>
      </c>
      <c r="AQ395" t="s">
        <v>879</v>
      </c>
      <c r="AR395">
        <v>-77.565128999999999</v>
      </c>
      <c r="AS395">
        <v>25</v>
      </c>
      <c r="AT395">
        <v>1875</v>
      </c>
      <c r="AU395" t="s">
        <v>123</v>
      </c>
      <c r="AV395">
        <v>1</v>
      </c>
      <c r="AW395">
        <v>169</v>
      </c>
      <c r="AX395">
        <v>0</v>
      </c>
      <c r="AZ395">
        <f t="shared" si="66"/>
        <v>1</v>
      </c>
      <c r="BA395">
        <f t="shared" si="67"/>
        <v>28561</v>
      </c>
      <c r="BB395" s="1">
        <f t="shared" si="68"/>
        <v>169.00295855398508</v>
      </c>
      <c r="BJ395">
        <v>1404</v>
      </c>
      <c r="BK395">
        <v>1</v>
      </c>
      <c r="BL395" t="str">
        <f t="shared" si="62"/>
        <v xml:space="preserve">N600C   </v>
      </c>
      <c r="BM395">
        <v>2</v>
      </c>
      <c r="BO395">
        <v>0</v>
      </c>
      <c r="BP395">
        <v>0</v>
      </c>
      <c r="BQ395">
        <v>0</v>
      </c>
      <c r="BR395">
        <v>2050</v>
      </c>
      <c r="BS395">
        <v>175</v>
      </c>
      <c r="BT395" t="s">
        <v>128</v>
      </c>
      <c r="BU395">
        <v>0</v>
      </c>
      <c r="BV395">
        <v>0</v>
      </c>
      <c r="BW395">
        <v>0</v>
      </c>
      <c r="BX395">
        <v>1</v>
      </c>
      <c r="CA395">
        <v>0</v>
      </c>
      <c r="CB395">
        <v>0</v>
      </c>
      <c r="CC395">
        <v>0</v>
      </c>
      <c r="CM395" t="str">
        <f>"17:47:17.337"</f>
        <v>17:47:17.337</v>
      </c>
      <c r="CN395">
        <v>336863580</v>
      </c>
      <c r="CQ395">
        <v>0</v>
      </c>
      <c r="CR395">
        <v>2496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3</v>
      </c>
      <c r="DB395">
        <v>2</v>
      </c>
      <c r="DC395">
        <v>0</v>
      </c>
      <c r="DD395">
        <v>2</v>
      </c>
      <c r="DE395">
        <v>0</v>
      </c>
      <c r="DF395">
        <v>7</v>
      </c>
      <c r="DG395">
        <v>7</v>
      </c>
      <c r="DH395" t="s">
        <v>124</v>
      </c>
      <c r="DI395">
        <v>71</v>
      </c>
      <c r="DJ395">
        <v>1</v>
      </c>
      <c r="DK395" t="s">
        <v>134</v>
      </c>
      <c r="DL395" t="s">
        <v>135</v>
      </c>
      <c r="DO395">
        <v>11580484</v>
      </c>
      <c r="DQ395">
        <v>0</v>
      </c>
      <c r="DR395">
        <v>0</v>
      </c>
      <c r="DS395">
        <v>1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</row>
    <row r="396" spans="1:131" x14ac:dyDescent="0.35">
      <c r="A396" s="2" t="str">
        <f>"17:47:18.600"</f>
        <v>17:47:18.600</v>
      </c>
      <c r="B396" s="4">
        <f t="shared" si="69"/>
        <v>64038.6</v>
      </c>
      <c r="C396" s="4">
        <f t="shared" si="63"/>
        <v>438.59999999999854</v>
      </c>
      <c r="D396" s="3">
        <f t="shared" si="64"/>
        <v>0.7411875</v>
      </c>
      <c r="E396" s="2">
        <f t="shared" si="65"/>
        <v>0.7411875</v>
      </c>
      <c r="G396" t="str">
        <f t="shared" si="60"/>
        <v>FFDFD7C0</v>
      </c>
      <c r="H396" t="s">
        <v>126</v>
      </c>
      <c r="I396">
        <v>8</v>
      </c>
      <c r="J396">
        <v>1008</v>
      </c>
      <c r="K396" t="s">
        <v>129</v>
      </c>
      <c r="N396" t="s">
        <v>127</v>
      </c>
      <c r="O396">
        <v>0</v>
      </c>
      <c r="P396">
        <v>3</v>
      </c>
      <c r="Q396">
        <v>0</v>
      </c>
      <c r="R396">
        <v>2</v>
      </c>
      <c r="S396">
        <v>1</v>
      </c>
      <c r="T396">
        <v>0</v>
      </c>
      <c r="U396">
        <v>0</v>
      </c>
      <c r="W396" t="str">
        <f>"17:47:18.398"</f>
        <v>17:47:18.398</v>
      </c>
      <c r="X396" t="str">
        <f>"17:47:18.098"</f>
        <v>17:47:18.098</v>
      </c>
      <c r="Y396" t="str">
        <f t="shared" si="61"/>
        <v>A7C771</v>
      </c>
      <c r="Z396">
        <v>0</v>
      </c>
      <c r="AA396">
        <v>0</v>
      </c>
      <c r="AB396">
        <v>2</v>
      </c>
      <c r="AC396">
        <v>0</v>
      </c>
      <c r="AE396">
        <v>0</v>
      </c>
      <c r="AF396">
        <v>8</v>
      </c>
      <c r="AG396">
        <v>3</v>
      </c>
      <c r="AH396">
        <v>0</v>
      </c>
      <c r="AI396">
        <v>9</v>
      </c>
      <c r="AJ396" t="s">
        <v>125</v>
      </c>
      <c r="AK396">
        <v>0</v>
      </c>
      <c r="AL396">
        <v>3</v>
      </c>
      <c r="AM396">
        <v>2</v>
      </c>
      <c r="AN396">
        <v>1</v>
      </c>
      <c r="AO396" t="s">
        <v>880</v>
      </c>
      <c r="AP396">
        <v>43.055377</v>
      </c>
      <c r="AQ396" t="s">
        <v>874</v>
      </c>
      <c r="AR396">
        <v>-77.565172000000004</v>
      </c>
      <c r="AS396">
        <v>25</v>
      </c>
      <c r="AT396">
        <v>1875</v>
      </c>
      <c r="AU396" t="s">
        <v>123</v>
      </c>
      <c r="AV396">
        <v>1</v>
      </c>
      <c r="AW396">
        <v>169</v>
      </c>
      <c r="AX396">
        <v>-64</v>
      </c>
      <c r="AZ396">
        <f t="shared" si="66"/>
        <v>1</v>
      </c>
      <c r="BA396">
        <f t="shared" si="67"/>
        <v>28561</v>
      </c>
      <c r="BB396" s="1">
        <f t="shared" si="68"/>
        <v>169.00295855398508</v>
      </c>
      <c r="BJ396">
        <v>1404</v>
      </c>
      <c r="BK396">
        <v>1</v>
      </c>
      <c r="BL396" t="str">
        <f t="shared" si="62"/>
        <v xml:space="preserve">N600C   </v>
      </c>
      <c r="BM396">
        <v>2</v>
      </c>
      <c r="BO396">
        <v>0</v>
      </c>
      <c r="BP396">
        <v>0</v>
      </c>
      <c r="BQ396">
        <v>0</v>
      </c>
      <c r="BR396">
        <v>2050</v>
      </c>
      <c r="BS396">
        <v>175</v>
      </c>
      <c r="BT396" t="s">
        <v>128</v>
      </c>
      <c r="BU396">
        <v>0</v>
      </c>
      <c r="BV396">
        <v>0</v>
      </c>
      <c r="BW396">
        <v>0</v>
      </c>
      <c r="BX396">
        <v>1</v>
      </c>
      <c r="CA396">
        <v>0</v>
      </c>
      <c r="CB396">
        <v>0</v>
      </c>
      <c r="CC396">
        <v>0</v>
      </c>
      <c r="CM396" t="str">
        <f>"17:47:18.401"</f>
        <v>17:47:18.401</v>
      </c>
      <c r="CN396">
        <v>401057694</v>
      </c>
      <c r="CQ396">
        <v>0</v>
      </c>
      <c r="CR396">
        <v>2496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3</v>
      </c>
      <c r="DB396">
        <v>2</v>
      </c>
      <c r="DC396">
        <v>0</v>
      </c>
      <c r="DD396">
        <v>2</v>
      </c>
      <c r="DE396">
        <v>0</v>
      </c>
      <c r="DF396">
        <v>7</v>
      </c>
      <c r="DG396">
        <v>7</v>
      </c>
      <c r="DH396" t="s">
        <v>124</v>
      </c>
      <c r="DI396">
        <v>71</v>
      </c>
      <c r="DJ396">
        <v>1</v>
      </c>
      <c r="DK396" t="s">
        <v>134</v>
      </c>
      <c r="DL396" t="s">
        <v>135</v>
      </c>
      <c r="DO396">
        <v>11581366</v>
      </c>
      <c r="DQ396">
        <v>0</v>
      </c>
      <c r="DR396">
        <v>0</v>
      </c>
      <c r="DS396">
        <v>1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</row>
    <row r="397" spans="1:131" x14ac:dyDescent="0.35">
      <c r="A397" s="2" t="str">
        <f>"17:47:19.601"</f>
        <v>17:47:19.601</v>
      </c>
      <c r="B397" s="4">
        <f t="shared" si="69"/>
        <v>64039.601000000002</v>
      </c>
      <c r="C397" s="4">
        <f t="shared" si="63"/>
        <v>439.60100000000239</v>
      </c>
      <c r="D397" s="3">
        <f t="shared" si="64"/>
        <v>0.74119908564814818</v>
      </c>
      <c r="E397" s="2">
        <f t="shared" si="65"/>
        <v>0.74119908564814818</v>
      </c>
      <c r="G397" t="str">
        <f t="shared" si="60"/>
        <v>FFDFD7C0</v>
      </c>
      <c r="H397" t="s">
        <v>126</v>
      </c>
      <c r="I397">
        <v>8</v>
      </c>
      <c r="J397">
        <v>1008</v>
      </c>
      <c r="K397" t="s">
        <v>129</v>
      </c>
      <c r="N397" t="s">
        <v>127</v>
      </c>
      <c r="O397">
        <v>0</v>
      </c>
      <c r="P397">
        <v>3</v>
      </c>
      <c r="Q397">
        <v>0</v>
      </c>
      <c r="R397">
        <v>2</v>
      </c>
      <c r="S397">
        <v>1</v>
      </c>
      <c r="T397">
        <v>0</v>
      </c>
      <c r="U397">
        <v>0</v>
      </c>
      <c r="W397" t="str">
        <f>"17:47:19.367"</f>
        <v>17:47:19.367</v>
      </c>
      <c r="X397" t="str">
        <f>"17:47:19.267"</f>
        <v>17:47:19.267</v>
      </c>
      <c r="Y397" t="str">
        <f t="shared" si="61"/>
        <v>A7C771</v>
      </c>
      <c r="Z397">
        <v>0</v>
      </c>
      <c r="AA397">
        <v>0</v>
      </c>
      <c r="AB397">
        <v>2</v>
      </c>
      <c r="AC397">
        <v>0</v>
      </c>
      <c r="AE397">
        <v>0</v>
      </c>
      <c r="AF397">
        <v>8</v>
      </c>
      <c r="AG397">
        <v>3</v>
      </c>
      <c r="AH397">
        <v>0</v>
      </c>
      <c r="AI397">
        <v>9</v>
      </c>
      <c r="AJ397" t="s">
        <v>125</v>
      </c>
      <c r="AK397">
        <v>0</v>
      </c>
      <c r="AL397">
        <v>3</v>
      </c>
      <c r="AM397">
        <v>2</v>
      </c>
      <c r="AN397">
        <v>1</v>
      </c>
      <c r="AO397" t="s">
        <v>881</v>
      </c>
      <c r="AP397">
        <v>43.056170999999999</v>
      </c>
      <c r="AQ397" t="s">
        <v>874</v>
      </c>
      <c r="AR397">
        <v>-77.565172000000004</v>
      </c>
      <c r="AS397">
        <v>25</v>
      </c>
      <c r="AT397">
        <v>1875</v>
      </c>
      <c r="AU397" t="s">
        <v>123</v>
      </c>
      <c r="AV397">
        <v>1</v>
      </c>
      <c r="AW397">
        <v>169</v>
      </c>
      <c r="AX397">
        <v>0</v>
      </c>
      <c r="AZ397">
        <f t="shared" si="66"/>
        <v>1</v>
      </c>
      <c r="BA397">
        <f t="shared" si="67"/>
        <v>28561</v>
      </c>
      <c r="BB397" s="1">
        <f t="shared" si="68"/>
        <v>169.00295855398508</v>
      </c>
      <c r="BJ397">
        <v>1404</v>
      </c>
      <c r="BK397">
        <v>1</v>
      </c>
      <c r="BL397" t="str">
        <f t="shared" si="62"/>
        <v xml:space="preserve">N600C   </v>
      </c>
      <c r="BM397">
        <v>2</v>
      </c>
      <c r="BO397">
        <v>0</v>
      </c>
      <c r="BP397">
        <v>0</v>
      </c>
      <c r="BQ397">
        <v>0</v>
      </c>
      <c r="BR397">
        <v>2050</v>
      </c>
      <c r="BS397">
        <v>175</v>
      </c>
      <c r="BT397" t="s">
        <v>128</v>
      </c>
      <c r="BU397">
        <v>0</v>
      </c>
      <c r="BV397">
        <v>0</v>
      </c>
      <c r="BW397">
        <v>0</v>
      </c>
      <c r="BX397">
        <v>1</v>
      </c>
      <c r="CA397">
        <v>0</v>
      </c>
      <c r="CB397">
        <v>0</v>
      </c>
      <c r="CC397">
        <v>0</v>
      </c>
      <c r="CM397" t="str">
        <f>"17:47:19.369"</f>
        <v>17:47:19.369</v>
      </c>
      <c r="CN397">
        <v>369241844</v>
      </c>
      <c r="CQ397">
        <v>0</v>
      </c>
      <c r="CR397">
        <v>2496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3</v>
      </c>
      <c r="DB397">
        <v>2</v>
      </c>
      <c r="DC397">
        <v>0</v>
      </c>
      <c r="DD397">
        <v>2</v>
      </c>
      <c r="DE397">
        <v>0</v>
      </c>
      <c r="DF397">
        <v>7</v>
      </c>
      <c r="DG397">
        <v>7</v>
      </c>
      <c r="DH397" t="s">
        <v>124</v>
      </c>
      <c r="DI397">
        <v>71</v>
      </c>
      <c r="DJ397">
        <v>1</v>
      </c>
      <c r="DK397" t="s">
        <v>134</v>
      </c>
      <c r="DL397" t="s">
        <v>135</v>
      </c>
      <c r="DO397">
        <v>11582154</v>
      </c>
      <c r="DQ397">
        <v>0</v>
      </c>
      <c r="DR397">
        <v>0</v>
      </c>
      <c r="DS397">
        <v>1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</row>
    <row r="398" spans="1:131" x14ac:dyDescent="0.35">
      <c r="A398" s="2" t="str">
        <f>"17:47:20.757"</f>
        <v>17:47:20.757</v>
      </c>
      <c r="B398" s="4">
        <f t="shared" si="69"/>
        <v>64040.756999999998</v>
      </c>
      <c r="C398" s="4">
        <f t="shared" si="63"/>
        <v>440.75699999999779</v>
      </c>
      <c r="D398" s="3">
        <f t="shared" si="64"/>
        <v>0.74121246527777773</v>
      </c>
      <c r="E398" s="2">
        <f t="shared" si="65"/>
        <v>0.74121246527777773</v>
      </c>
      <c r="G398" t="str">
        <f t="shared" si="60"/>
        <v>FFDFD7C0</v>
      </c>
      <c r="H398" t="s">
        <v>126</v>
      </c>
      <c r="I398">
        <v>8</v>
      </c>
      <c r="J398">
        <v>1008</v>
      </c>
      <c r="K398" t="s">
        <v>129</v>
      </c>
      <c r="N398" t="s">
        <v>127</v>
      </c>
      <c r="O398">
        <v>0</v>
      </c>
      <c r="P398">
        <v>3</v>
      </c>
      <c r="Q398">
        <v>0</v>
      </c>
      <c r="R398">
        <v>2</v>
      </c>
      <c r="S398">
        <v>1</v>
      </c>
      <c r="T398">
        <v>0</v>
      </c>
      <c r="U398">
        <v>0</v>
      </c>
      <c r="W398" t="str">
        <f>"17:47:20.383"</f>
        <v>17:47:20.383</v>
      </c>
      <c r="X398" t="str">
        <f>"17:47:20.283"</f>
        <v>17:47:20.283</v>
      </c>
      <c r="Y398" t="str">
        <f t="shared" si="61"/>
        <v>A7C771</v>
      </c>
      <c r="Z398">
        <v>0</v>
      </c>
      <c r="AA398">
        <v>0</v>
      </c>
      <c r="AB398">
        <v>2</v>
      </c>
      <c r="AC398">
        <v>0</v>
      </c>
      <c r="AE398">
        <v>0</v>
      </c>
      <c r="AF398">
        <v>8</v>
      </c>
      <c r="AG398">
        <v>3</v>
      </c>
      <c r="AH398">
        <v>0</v>
      </c>
      <c r="AI398">
        <v>9</v>
      </c>
      <c r="AJ398" t="s">
        <v>125</v>
      </c>
      <c r="AK398">
        <v>0</v>
      </c>
      <c r="AL398">
        <v>3</v>
      </c>
      <c r="AM398">
        <v>2</v>
      </c>
      <c r="AN398">
        <v>1</v>
      </c>
      <c r="AO398" t="s">
        <v>882</v>
      </c>
      <c r="AP398">
        <v>43.056964999999998</v>
      </c>
      <c r="AQ398" t="s">
        <v>883</v>
      </c>
      <c r="AR398">
        <v>-77.565106999999998</v>
      </c>
      <c r="AS398">
        <v>25</v>
      </c>
      <c r="AT398">
        <v>1875</v>
      </c>
      <c r="AU398" t="s">
        <v>123</v>
      </c>
      <c r="AV398">
        <v>1</v>
      </c>
      <c r="AW398">
        <v>169</v>
      </c>
      <c r="AX398">
        <v>64</v>
      </c>
      <c r="AZ398">
        <f t="shared" si="66"/>
        <v>1</v>
      </c>
      <c r="BA398">
        <f t="shared" si="67"/>
        <v>28561</v>
      </c>
      <c r="BB398" s="1">
        <f t="shared" si="68"/>
        <v>169.00295855398508</v>
      </c>
      <c r="BJ398">
        <v>1404</v>
      </c>
      <c r="BK398">
        <v>1</v>
      </c>
      <c r="BL398" t="str">
        <f t="shared" si="62"/>
        <v xml:space="preserve">N600C   </v>
      </c>
      <c r="BM398">
        <v>2</v>
      </c>
      <c r="BO398">
        <v>0</v>
      </c>
      <c r="BP398">
        <v>0</v>
      </c>
      <c r="BQ398">
        <v>0</v>
      </c>
      <c r="BR398">
        <v>2050</v>
      </c>
      <c r="BS398">
        <v>175</v>
      </c>
      <c r="BT398" t="s">
        <v>128</v>
      </c>
      <c r="BU398">
        <v>0</v>
      </c>
      <c r="BV398">
        <v>0</v>
      </c>
      <c r="BW398">
        <v>0</v>
      </c>
      <c r="BX398">
        <v>1</v>
      </c>
      <c r="CA398">
        <v>0</v>
      </c>
      <c r="CB398">
        <v>0</v>
      </c>
      <c r="CC398">
        <v>0</v>
      </c>
      <c r="CM398" t="str">
        <f>"17:47:20.385"</f>
        <v>17:47:20.385</v>
      </c>
      <c r="CN398">
        <v>385472077</v>
      </c>
      <c r="CQ398">
        <v>0</v>
      </c>
      <c r="CR398">
        <v>2496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3</v>
      </c>
      <c r="DB398">
        <v>2</v>
      </c>
      <c r="DC398">
        <v>0</v>
      </c>
      <c r="DD398">
        <v>2</v>
      </c>
      <c r="DE398">
        <v>0</v>
      </c>
      <c r="DF398">
        <v>7</v>
      </c>
      <c r="DG398">
        <v>7</v>
      </c>
      <c r="DH398" t="s">
        <v>124</v>
      </c>
      <c r="DI398">
        <v>407</v>
      </c>
      <c r="DJ398">
        <v>3</v>
      </c>
      <c r="DK398" t="s">
        <v>132</v>
      </c>
      <c r="DL398" t="s">
        <v>133</v>
      </c>
      <c r="DO398">
        <v>1657790</v>
      </c>
      <c r="DQ398">
        <v>0</v>
      </c>
      <c r="DR398">
        <v>0</v>
      </c>
      <c r="DS398">
        <v>1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</row>
    <row r="399" spans="1:131" x14ac:dyDescent="0.35">
      <c r="A399" s="2" t="str">
        <f>"17:47:21.632"</f>
        <v>17:47:21.632</v>
      </c>
      <c r="B399" s="4">
        <f t="shared" si="69"/>
        <v>64041.631999999998</v>
      </c>
      <c r="C399" s="4">
        <f t="shared" si="63"/>
        <v>441.63199999999779</v>
      </c>
      <c r="D399" s="3">
        <f t="shared" si="64"/>
        <v>0.7412225925925926</v>
      </c>
      <c r="E399" s="2">
        <f t="shared" si="65"/>
        <v>0.7412225925925926</v>
      </c>
      <c r="G399" t="str">
        <f t="shared" si="60"/>
        <v>FFDFD7C0</v>
      </c>
      <c r="H399" t="s">
        <v>126</v>
      </c>
      <c r="I399">
        <v>8</v>
      </c>
      <c r="J399">
        <v>1008</v>
      </c>
      <c r="K399" t="s">
        <v>129</v>
      </c>
      <c r="N399" t="s">
        <v>127</v>
      </c>
      <c r="O399">
        <v>0</v>
      </c>
      <c r="P399">
        <v>3</v>
      </c>
      <c r="Q399">
        <v>0</v>
      </c>
      <c r="R399">
        <v>2</v>
      </c>
      <c r="S399">
        <v>1</v>
      </c>
      <c r="T399">
        <v>0</v>
      </c>
      <c r="U399">
        <v>0</v>
      </c>
      <c r="W399" t="str">
        <f>"17:47:21.313"</f>
        <v>17:47:21.313</v>
      </c>
      <c r="X399" t="str">
        <f>"17:47:20.913"</f>
        <v>17:47:20.913</v>
      </c>
      <c r="Y399" t="str">
        <f t="shared" si="61"/>
        <v>A7C771</v>
      </c>
      <c r="Z399">
        <v>0</v>
      </c>
      <c r="AA399">
        <v>0</v>
      </c>
      <c r="AB399">
        <v>2</v>
      </c>
      <c r="AC399">
        <v>0</v>
      </c>
      <c r="AE399">
        <v>0</v>
      </c>
      <c r="AF399">
        <v>8</v>
      </c>
      <c r="AG399">
        <v>3</v>
      </c>
      <c r="AH399">
        <v>0</v>
      </c>
      <c r="AI399">
        <v>9</v>
      </c>
      <c r="AJ399" t="s">
        <v>125</v>
      </c>
      <c r="AK399">
        <v>0</v>
      </c>
      <c r="AL399">
        <v>3</v>
      </c>
      <c r="AM399">
        <v>2</v>
      </c>
      <c r="AN399">
        <v>1</v>
      </c>
      <c r="AO399" t="s">
        <v>884</v>
      </c>
      <c r="AP399">
        <v>43.057673000000001</v>
      </c>
      <c r="AQ399" t="s">
        <v>879</v>
      </c>
      <c r="AR399">
        <v>-77.565128999999999</v>
      </c>
      <c r="AS399">
        <v>25</v>
      </c>
      <c r="AT399">
        <v>1875</v>
      </c>
      <c r="AU399" t="s">
        <v>123</v>
      </c>
      <c r="AV399">
        <v>1</v>
      </c>
      <c r="AW399">
        <v>169</v>
      </c>
      <c r="AX399">
        <v>64</v>
      </c>
      <c r="AZ399">
        <f t="shared" si="66"/>
        <v>1</v>
      </c>
      <c r="BA399">
        <f t="shared" si="67"/>
        <v>28561</v>
      </c>
      <c r="BB399" s="1">
        <f t="shared" si="68"/>
        <v>169.00295855398508</v>
      </c>
      <c r="BJ399">
        <v>1404</v>
      </c>
      <c r="BK399">
        <v>1</v>
      </c>
      <c r="BL399" t="str">
        <f t="shared" si="62"/>
        <v xml:space="preserve">N600C   </v>
      </c>
      <c r="BM399">
        <v>2</v>
      </c>
      <c r="BO399">
        <v>0</v>
      </c>
      <c r="BP399">
        <v>0</v>
      </c>
      <c r="BQ399">
        <v>0</v>
      </c>
      <c r="BR399">
        <v>2050</v>
      </c>
      <c r="BS399">
        <v>175</v>
      </c>
      <c r="BT399" t="s">
        <v>128</v>
      </c>
      <c r="BU399">
        <v>0</v>
      </c>
      <c r="BV399">
        <v>0</v>
      </c>
      <c r="BW399">
        <v>0</v>
      </c>
      <c r="BX399">
        <v>1</v>
      </c>
      <c r="CA399">
        <v>0</v>
      </c>
      <c r="CB399">
        <v>0</v>
      </c>
      <c r="CC399">
        <v>0</v>
      </c>
      <c r="CM399" t="str">
        <f>"17:47:21.314"</f>
        <v>17:47:21.314</v>
      </c>
      <c r="CN399">
        <v>313606729</v>
      </c>
      <c r="CQ399">
        <v>0</v>
      </c>
      <c r="CR399">
        <v>2496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3</v>
      </c>
      <c r="DB399">
        <v>2</v>
      </c>
      <c r="DC399">
        <v>0</v>
      </c>
      <c r="DD399">
        <v>2</v>
      </c>
      <c r="DE399">
        <v>0</v>
      </c>
      <c r="DF399">
        <v>7</v>
      </c>
      <c r="DG399">
        <v>7</v>
      </c>
      <c r="DH399" t="s">
        <v>124</v>
      </c>
      <c r="DI399">
        <v>71</v>
      </c>
      <c r="DJ399">
        <v>1</v>
      </c>
      <c r="DK399" t="s">
        <v>134</v>
      </c>
      <c r="DL399" t="s">
        <v>135</v>
      </c>
      <c r="DO399">
        <v>11583826</v>
      </c>
      <c r="DQ399">
        <v>0</v>
      </c>
      <c r="DR399">
        <v>0</v>
      </c>
      <c r="DS399">
        <v>1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</row>
    <row r="400" spans="1:131" x14ac:dyDescent="0.35">
      <c r="A400" s="2" t="str">
        <f>"17:47:22.773"</f>
        <v>17:47:22.773</v>
      </c>
      <c r="B400" s="4">
        <f t="shared" si="69"/>
        <v>64042.773000000001</v>
      </c>
      <c r="C400" s="4">
        <f t="shared" si="63"/>
        <v>442.77300000000105</v>
      </c>
      <c r="D400" s="3">
        <f t="shared" si="64"/>
        <v>0.74123579861111111</v>
      </c>
      <c r="E400" s="2">
        <f t="shared" si="65"/>
        <v>0.74123579861111111</v>
      </c>
      <c r="G400" t="str">
        <f t="shared" si="60"/>
        <v>FFDFD7C0</v>
      </c>
      <c r="H400" t="s">
        <v>126</v>
      </c>
      <c r="I400">
        <v>8</v>
      </c>
      <c r="J400">
        <v>1008</v>
      </c>
      <c r="K400" t="s">
        <v>129</v>
      </c>
      <c r="N400" t="s">
        <v>127</v>
      </c>
      <c r="O400">
        <v>0</v>
      </c>
      <c r="P400">
        <v>3</v>
      </c>
      <c r="Q400">
        <v>0</v>
      </c>
      <c r="R400">
        <v>2</v>
      </c>
      <c r="S400">
        <v>1</v>
      </c>
      <c r="T400">
        <v>0</v>
      </c>
      <c r="U400">
        <v>0</v>
      </c>
      <c r="W400" t="str">
        <f>"17:47:22.484"</f>
        <v>17:47:22.484</v>
      </c>
      <c r="X400" t="str">
        <f>"17:47:22.384"</f>
        <v>17:47:22.384</v>
      </c>
      <c r="Y400" t="str">
        <f t="shared" si="61"/>
        <v>A7C771</v>
      </c>
      <c r="Z400">
        <v>0</v>
      </c>
      <c r="AA400">
        <v>0</v>
      </c>
      <c r="AB400">
        <v>2</v>
      </c>
      <c r="AC400">
        <v>0</v>
      </c>
      <c r="AE400">
        <v>0</v>
      </c>
      <c r="AF400">
        <v>8</v>
      </c>
      <c r="AG400">
        <v>3</v>
      </c>
      <c r="AH400">
        <v>0</v>
      </c>
      <c r="AI400">
        <v>9</v>
      </c>
      <c r="AJ400" t="s">
        <v>125</v>
      </c>
      <c r="AK400">
        <v>0</v>
      </c>
      <c r="AL400">
        <v>3</v>
      </c>
      <c r="AM400">
        <v>2</v>
      </c>
      <c r="AN400">
        <v>1</v>
      </c>
      <c r="AO400" t="s">
        <v>885</v>
      </c>
      <c r="AP400">
        <v>43.058574</v>
      </c>
      <c r="AQ400" t="s">
        <v>879</v>
      </c>
      <c r="AR400">
        <v>-77.565128999999999</v>
      </c>
      <c r="AS400">
        <v>25</v>
      </c>
      <c r="AT400">
        <v>1875</v>
      </c>
      <c r="AU400" t="s">
        <v>123</v>
      </c>
      <c r="AV400">
        <v>1</v>
      </c>
      <c r="AW400">
        <v>169</v>
      </c>
      <c r="AX400">
        <v>64</v>
      </c>
      <c r="AZ400">
        <f t="shared" si="66"/>
        <v>1</v>
      </c>
      <c r="BA400">
        <f t="shared" si="67"/>
        <v>28561</v>
      </c>
      <c r="BB400" s="1">
        <f t="shared" si="68"/>
        <v>169.00295855398508</v>
      </c>
      <c r="BJ400">
        <v>1404</v>
      </c>
      <c r="BK400">
        <v>1</v>
      </c>
      <c r="BL400" t="str">
        <f t="shared" si="62"/>
        <v xml:space="preserve">N600C   </v>
      </c>
      <c r="BM400">
        <v>2</v>
      </c>
      <c r="BO400">
        <v>0</v>
      </c>
      <c r="BP400">
        <v>0</v>
      </c>
      <c r="BQ400">
        <v>0</v>
      </c>
      <c r="BR400">
        <v>2050</v>
      </c>
      <c r="BS400">
        <v>175</v>
      </c>
      <c r="BT400" t="s">
        <v>128</v>
      </c>
      <c r="BU400">
        <v>0</v>
      </c>
      <c r="BV400">
        <v>0</v>
      </c>
      <c r="BW400">
        <v>0</v>
      </c>
      <c r="BX400">
        <v>1</v>
      </c>
      <c r="CA400">
        <v>0</v>
      </c>
      <c r="CB400">
        <v>0</v>
      </c>
      <c r="CC400">
        <v>0</v>
      </c>
      <c r="CM400" t="str">
        <f>"17:47:22.490"</f>
        <v>17:47:22.490</v>
      </c>
      <c r="CN400">
        <v>489823417</v>
      </c>
      <c r="CQ400">
        <v>0</v>
      </c>
      <c r="CR400">
        <v>2496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3</v>
      </c>
      <c r="DB400">
        <v>2</v>
      </c>
      <c r="DC400">
        <v>0</v>
      </c>
      <c r="DD400">
        <v>2</v>
      </c>
      <c r="DE400">
        <v>0</v>
      </c>
      <c r="DF400">
        <v>7</v>
      </c>
      <c r="DG400">
        <v>7</v>
      </c>
      <c r="DH400" t="s">
        <v>124</v>
      </c>
      <c r="DI400">
        <v>71</v>
      </c>
      <c r="DJ400">
        <v>1</v>
      </c>
      <c r="DK400" t="s">
        <v>134</v>
      </c>
      <c r="DL400" t="s">
        <v>135</v>
      </c>
      <c r="DO400">
        <v>11584962</v>
      </c>
      <c r="DQ400">
        <v>0</v>
      </c>
      <c r="DR400">
        <v>0</v>
      </c>
      <c r="DS400">
        <v>1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</row>
    <row r="401" spans="1:131" x14ac:dyDescent="0.35">
      <c r="A401" s="2" t="str">
        <f>"17:47:23.570"</f>
        <v>17:47:23.570</v>
      </c>
      <c r="B401" s="4">
        <f t="shared" si="69"/>
        <v>64043.57</v>
      </c>
      <c r="C401" s="4">
        <f t="shared" si="63"/>
        <v>443.56999999999971</v>
      </c>
      <c r="D401" s="3">
        <f t="shared" si="64"/>
        <v>0.74124502314814811</v>
      </c>
      <c r="E401" s="2">
        <f t="shared" si="65"/>
        <v>0.74124502314814811</v>
      </c>
      <c r="G401" t="str">
        <f t="shared" si="60"/>
        <v>FFDFD7C0</v>
      </c>
      <c r="H401" t="s">
        <v>126</v>
      </c>
      <c r="I401">
        <v>8</v>
      </c>
      <c r="J401">
        <v>1008</v>
      </c>
      <c r="K401" t="s">
        <v>129</v>
      </c>
      <c r="N401" t="s">
        <v>127</v>
      </c>
      <c r="O401">
        <v>0</v>
      </c>
      <c r="P401">
        <v>3</v>
      </c>
      <c r="Q401">
        <v>0</v>
      </c>
      <c r="R401">
        <v>2</v>
      </c>
      <c r="S401">
        <v>1</v>
      </c>
      <c r="T401">
        <v>0</v>
      </c>
      <c r="U401">
        <v>0</v>
      </c>
      <c r="W401" t="str">
        <f>"17:47:23.313"</f>
        <v>17:47:23.313</v>
      </c>
      <c r="X401" t="str">
        <f>"17:47:23.313"</f>
        <v>17:47:23.313</v>
      </c>
      <c r="Y401" t="str">
        <f t="shared" si="61"/>
        <v>A7C771</v>
      </c>
      <c r="Z401">
        <v>0</v>
      </c>
      <c r="AA401">
        <v>0</v>
      </c>
      <c r="AB401">
        <v>2</v>
      </c>
      <c r="AC401">
        <v>0</v>
      </c>
      <c r="AE401">
        <v>0</v>
      </c>
      <c r="AF401">
        <v>8</v>
      </c>
      <c r="AG401">
        <v>3</v>
      </c>
      <c r="AH401">
        <v>0</v>
      </c>
      <c r="AI401">
        <v>9</v>
      </c>
      <c r="AJ401" t="s">
        <v>125</v>
      </c>
      <c r="AK401">
        <v>0</v>
      </c>
      <c r="AL401">
        <v>3</v>
      </c>
      <c r="AM401">
        <v>2</v>
      </c>
      <c r="AN401">
        <v>1</v>
      </c>
      <c r="AO401" t="s">
        <v>886</v>
      </c>
      <c r="AP401">
        <v>43.059218000000001</v>
      </c>
      <c r="AQ401" t="s">
        <v>879</v>
      </c>
      <c r="AR401">
        <v>-77.565128999999999</v>
      </c>
      <c r="AS401">
        <v>25</v>
      </c>
      <c r="AT401">
        <v>1875</v>
      </c>
      <c r="AU401" t="s">
        <v>123</v>
      </c>
      <c r="AV401">
        <v>2</v>
      </c>
      <c r="AW401">
        <v>168</v>
      </c>
      <c r="AX401">
        <v>0</v>
      </c>
      <c r="AZ401">
        <f t="shared" si="66"/>
        <v>4</v>
      </c>
      <c r="BA401">
        <f t="shared" si="67"/>
        <v>28224</v>
      </c>
      <c r="BB401" s="1">
        <f t="shared" si="68"/>
        <v>168.01190434013895</v>
      </c>
      <c r="BJ401">
        <v>1404</v>
      </c>
      <c r="BK401">
        <v>1</v>
      </c>
      <c r="BL401" t="str">
        <f t="shared" si="62"/>
        <v xml:space="preserve">N600C   </v>
      </c>
      <c r="BM401">
        <v>2</v>
      </c>
      <c r="BO401">
        <v>0</v>
      </c>
      <c r="BP401">
        <v>0</v>
      </c>
      <c r="BQ401">
        <v>0</v>
      </c>
      <c r="BR401">
        <v>2050</v>
      </c>
      <c r="BS401">
        <v>175</v>
      </c>
      <c r="BT401" t="s">
        <v>128</v>
      </c>
      <c r="BU401">
        <v>0</v>
      </c>
      <c r="BV401">
        <v>0</v>
      </c>
      <c r="BW401">
        <v>0</v>
      </c>
      <c r="BX401">
        <v>1</v>
      </c>
      <c r="CA401">
        <v>0</v>
      </c>
      <c r="CB401">
        <v>0</v>
      </c>
      <c r="CC401">
        <v>0</v>
      </c>
      <c r="CM401" t="str">
        <f>"17:47:23.314"</f>
        <v>17:47:23.314</v>
      </c>
      <c r="CN401">
        <v>313978120</v>
      </c>
      <c r="CQ401">
        <v>0</v>
      </c>
      <c r="CR401">
        <v>2496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3</v>
      </c>
      <c r="DB401">
        <v>2</v>
      </c>
      <c r="DC401">
        <v>0</v>
      </c>
      <c r="DD401">
        <v>2</v>
      </c>
      <c r="DE401">
        <v>0</v>
      </c>
      <c r="DF401">
        <v>7</v>
      </c>
      <c r="DG401">
        <v>7</v>
      </c>
      <c r="DH401" t="s">
        <v>124</v>
      </c>
      <c r="DI401">
        <v>71</v>
      </c>
      <c r="DJ401">
        <v>1</v>
      </c>
      <c r="DK401" t="s">
        <v>134</v>
      </c>
      <c r="DL401" t="s">
        <v>135</v>
      </c>
      <c r="DO401">
        <v>11585657</v>
      </c>
      <c r="DQ401">
        <v>0</v>
      </c>
      <c r="DR401">
        <v>0</v>
      </c>
      <c r="DS401">
        <v>1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</row>
    <row r="402" spans="1:131" x14ac:dyDescent="0.35">
      <c r="A402" s="2" t="str">
        <f>"17:47:24.569"</f>
        <v>17:47:24.569</v>
      </c>
      <c r="B402" s="4">
        <f t="shared" si="69"/>
        <v>64044.569000000003</v>
      </c>
      <c r="C402" s="4">
        <f t="shared" si="63"/>
        <v>444.56900000000314</v>
      </c>
      <c r="D402" s="3">
        <f t="shared" si="64"/>
        <v>0.74125658564814823</v>
      </c>
      <c r="E402" s="2">
        <f t="shared" si="65"/>
        <v>0.74125658564814823</v>
      </c>
      <c r="G402" t="str">
        <f t="shared" si="60"/>
        <v>FFDFD7C0</v>
      </c>
      <c r="H402" t="s">
        <v>126</v>
      </c>
      <c r="I402">
        <v>8</v>
      </c>
      <c r="J402">
        <v>1008</v>
      </c>
      <c r="K402" t="s">
        <v>129</v>
      </c>
      <c r="N402" t="s">
        <v>127</v>
      </c>
      <c r="O402">
        <v>0</v>
      </c>
      <c r="P402">
        <v>3</v>
      </c>
      <c r="Q402">
        <v>0</v>
      </c>
      <c r="R402">
        <v>2</v>
      </c>
      <c r="S402">
        <v>1</v>
      </c>
      <c r="T402">
        <v>0</v>
      </c>
      <c r="U402">
        <v>0</v>
      </c>
      <c r="W402" t="str">
        <f>"17:47:24.375"</f>
        <v>17:47:24.375</v>
      </c>
      <c r="X402" t="str">
        <f>"17:47:23.875"</f>
        <v>17:47:23.875</v>
      </c>
      <c r="Y402" t="str">
        <f t="shared" si="61"/>
        <v>A7C771</v>
      </c>
      <c r="Z402">
        <v>0</v>
      </c>
      <c r="AA402">
        <v>0</v>
      </c>
      <c r="AB402">
        <v>2</v>
      </c>
      <c r="AC402">
        <v>0</v>
      </c>
      <c r="AE402">
        <v>0</v>
      </c>
      <c r="AF402">
        <v>8</v>
      </c>
      <c r="AG402">
        <v>3</v>
      </c>
      <c r="AH402">
        <v>0</v>
      </c>
      <c r="AI402">
        <v>9</v>
      </c>
      <c r="AJ402" t="s">
        <v>125</v>
      </c>
      <c r="AK402">
        <v>0</v>
      </c>
      <c r="AL402">
        <v>3</v>
      </c>
      <c r="AM402">
        <v>2</v>
      </c>
      <c r="AN402">
        <v>1</v>
      </c>
      <c r="AO402" t="s">
        <v>887</v>
      </c>
      <c r="AP402">
        <v>43.060076000000002</v>
      </c>
      <c r="AQ402" t="s">
        <v>883</v>
      </c>
      <c r="AR402">
        <v>-77.565106999999998</v>
      </c>
      <c r="AS402">
        <v>25</v>
      </c>
      <c r="AT402">
        <v>1875</v>
      </c>
      <c r="AU402" t="s">
        <v>123</v>
      </c>
      <c r="AV402">
        <v>2</v>
      </c>
      <c r="AW402">
        <v>168</v>
      </c>
      <c r="AX402">
        <v>0</v>
      </c>
      <c r="AZ402">
        <f t="shared" si="66"/>
        <v>4</v>
      </c>
      <c r="BA402">
        <f t="shared" si="67"/>
        <v>28224</v>
      </c>
      <c r="BB402" s="1">
        <f t="shared" si="68"/>
        <v>168.01190434013895</v>
      </c>
      <c r="BJ402">
        <v>1404</v>
      </c>
      <c r="BK402">
        <v>1</v>
      </c>
      <c r="BL402" t="str">
        <f t="shared" si="62"/>
        <v xml:space="preserve">N600C   </v>
      </c>
      <c r="BM402">
        <v>2</v>
      </c>
      <c r="BO402">
        <v>0</v>
      </c>
      <c r="BP402">
        <v>0</v>
      </c>
      <c r="BQ402">
        <v>0</v>
      </c>
      <c r="BR402">
        <v>2050</v>
      </c>
      <c r="BS402">
        <v>175</v>
      </c>
      <c r="BT402" t="s">
        <v>128</v>
      </c>
      <c r="BU402">
        <v>0</v>
      </c>
      <c r="BV402">
        <v>0</v>
      </c>
      <c r="BW402">
        <v>0</v>
      </c>
      <c r="BX402">
        <v>1</v>
      </c>
      <c r="CA402">
        <v>0</v>
      </c>
      <c r="CB402">
        <v>0</v>
      </c>
      <c r="CC402">
        <v>0</v>
      </c>
      <c r="CM402" t="str">
        <f>"17:47:24.378"</f>
        <v>17:47:24.378</v>
      </c>
      <c r="CN402">
        <v>378240699</v>
      </c>
      <c r="CQ402">
        <v>0</v>
      </c>
      <c r="CR402">
        <v>2496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3</v>
      </c>
      <c r="DB402">
        <v>2</v>
      </c>
      <c r="DC402">
        <v>0</v>
      </c>
      <c r="DD402">
        <v>2</v>
      </c>
      <c r="DE402">
        <v>0</v>
      </c>
      <c r="DF402">
        <v>7</v>
      </c>
      <c r="DG402">
        <v>7</v>
      </c>
      <c r="DH402" t="s">
        <v>124</v>
      </c>
      <c r="DI402">
        <v>71</v>
      </c>
      <c r="DJ402">
        <v>1</v>
      </c>
      <c r="DK402" t="s">
        <v>134</v>
      </c>
      <c r="DL402" t="s">
        <v>135</v>
      </c>
      <c r="DO402">
        <v>11586525</v>
      </c>
      <c r="DQ402">
        <v>0</v>
      </c>
      <c r="DR402">
        <v>0</v>
      </c>
      <c r="DS402">
        <v>1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</row>
    <row r="403" spans="1:131" x14ac:dyDescent="0.35">
      <c r="A403" s="2" t="str">
        <f>"17:47:25.460"</f>
        <v>17:47:25.460</v>
      </c>
      <c r="B403" s="4">
        <f t="shared" si="69"/>
        <v>64045.46</v>
      </c>
      <c r="C403" s="4">
        <f t="shared" si="63"/>
        <v>445.45999999999913</v>
      </c>
      <c r="D403" s="3">
        <f t="shared" si="64"/>
        <v>0.74126689814814817</v>
      </c>
      <c r="E403" s="2">
        <f t="shared" si="65"/>
        <v>0.74126689814814817</v>
      </c>
      <c r="G403" t="str">
        <f t="shared" si="60"/>
        <v>FFDFD7C0</v>
      </c>
      <c r="H403" t="s">
        <v>126</v>
      </c>
      <c r="I403">
        <v>8</v>
      </c>
      <c r="J403">
        <v>1008</v>
      </c>
      <c r="K403" t="s">
        <v>129</v>
      </c>
      <c r="N403" t="s">
        <v>127</v>
      </c>
      <c r="O403">
        <v>0</v>
      </c>
      <c r="P403">
        <v>3</v>
      </c>
      <c r="Q403">
        <v>0</v>
      </c>
      <c r="R403">
        <v>2</v>
      </c>
      <c r="S403">
        <v>1</v>
      </c>
      <c r="T403">
        <v>0</v>
      </c>
      <c r="U403">
        <v>0</v>
      </c>
      <c r="W403" t="str">
        <f>"17:47:25.195"</f>
        <v>17:47:25.195</v>
      </c>
      <c r="X403" t="str">
        <f>"17:47:24.895"</f>
        <v>17:47:24.895</v>
      </c>
      <c r="Y403" t="str">
        <f t="shared" si="61"/>
        <v>A7C771</v>
      </c>
      <c r="Z403">
        <v>0</v>
      </c>
      <c r="AA403">
        <v>0</v>
      </c>
      <c r="AB403">
        <v>2</v>
      </c>
      <c r="AC403">
        <v>0</v>
      </c>
      <c r="AE403">
        <v>0</v>
      </c>
      <c r="AF403">
        <v>8</v>
      </c>
      <c r="AG403">
        <v>3</v>
      </c>
      <c r="AH403">
        <v>0</v>
      </c>
      <c r="AI403">
        <v>9</v>
      </c>
      <c r="AJ403" t="s">
        <v>125</v>
      </c>
      <c r="AK403">
        <v>0</v>
      </c>
      <c r="AL403">
        <v>3</v>
      </c>
      <c r="AM403">
        <v>2</v>
      </c>
      <c r="AN403">
        <v>1</v>
      </c>
      <c r="AO403" t="s">
        <v>888</v>
      </c>
      <c r="AP403">
        <v>43.060676999999998</v>
      </c>
      <c r="AQ403" t="s">
        <v>883</v>
      </c>
      <c r="AR403">
        <v>-77.565106999999998</v>
      </c>
      <c r="AS403">
        <v>25</v>
      </c>
      <c r="AT403">
        <v>1875</v>
      </c>
      <c r="AU403" t="s">
        <v>123</v>
      </c>
      <c r="AV403">
        <v>3</v>
      </c>
      <c r="AW403">
        <v>168</v>
      </c>
      <c r="AX403">
        <v>64</v>
      </c>
      <c r="AZ403">
        <f t="shared" si="66"/>
        <v>9</v>
      </c>
      <c r="BA403">
        <f t="shared" si="67"/>
        <v>28224</v>
      </c>
      <c r="BB403" s="1">
        <f t="shared" si="68"/>
        <v>168.02678357928536</v>
      </c>
      <c r="BJ403">
        <v>1404</v>
      </c>
      <c r="BK403">
        <v>1</v>
      </c>
      <c r="BL403" t="str">
        <f t="shared" si="62"/>
        <v xml:space="preserve">N600C   </v>
      </c>
      <c r="BM403">
        <v>2</v>
      </c>
      <c r="BO403">
        <v>0</v>
      </c>
      <c r="BP403">
        <v>0</v>
      </c>
      <c r="BQ403">
        <v>0</v>
      </c>
      <c r="BR403">
        <v>2050</v>
      </c>
      <c r="BS403">
        <v>175</v>
      </c>
      <c r="BT403" t="s">
        <v>128</v>
      </c>
      <c r="BU403">
        <v>0</v>
      </c>
      <c r="BV403">
        <v>0</v>
      </c>
      <c r="BW403">
        <v>0</v>
      </c>
      <c r="BX403">
        <v>1</v>
      </c>
      <c r="CA403">
        <v>0</v>
      </c>
      <c r="CB403">
        <v>0</v>
      </c>
      <c r="CC403">
        <v>0</v>
      </c>
      <c r="CM403" t="str">
        <f>"17:47:25.202"</f>
        <v>17:47:25.202</v>
      </c>
      <c r="CN403">
        <v>202323206</v>
      </c>
      <c r="CQ403">
        <v>0</v>
      </c>
      <c r="CR403">
        <v>2496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3</v>
      </c>
      <c r="DB403">
        <v>2</v>
      </c>
      <c r="DC403">
        <v>0</v>
      </c>
      <c r="DD403">
        <v>2</v>
      </c>
      <c r="DE403">
        <v>0</v>
      </c>
      <c r="DF403">
        <v>7</v>
      </c>
      <c r="DG403">
        <v>7</v>
      </c>
      <c r="DH403" t="s">
        <v>124</v>
      </c>
      <c r="DI403">
        <v>71</v>
      </c>
      <c r="DJ403">
        <v>1</v>
      </c>
      <c r="DK403" t="s">
        <v>134</v>
      </c>
      <c r="DL403" t="s">
        <v>135</v>
      </c>
      <c r="DO403">
        <v>11587232</v>
      </c>
      <c r="DQ403">
        <v>0</v>
      </c>
      <c r="DR403">
        <v>0</v>
      </c>
      <c r="DS403">
        <v>1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</row>
    <row r="404" spans="1:131" x14ac:dyDescent="0.35">
      <c r="A404" s="2" t="str">
        <f>"17:47:26.366"</f>
        <v>17:47:26.366</v>
      </c>
      <c r="B404" s="4">
        <f t="shared" si="69"/>
        <v>64046.366000000002</v>
      </c>
      <c r="C404" s="4">
        <f t="shared" si="63"/>
        <v>446.3660000000018</v>
      </c>
      <c r="D404" s="3">
        <f t="shared" si="64"/>
        <v>0.74127738425925926</v>
      </c>
      <c r="E404" s="2">
        <f t="shared" si="65"/>
        <v>0.74127738425925926</v>
      </c>
      <c r="G404" t="str">
        <f t="shared" si="60"/>
        <v>FFDFD7C0</v>
      </c>
      <c r="H404" t="s">
        <v>126</v>
      </c>
      <c r="I404">
        <v>8</v>
      </c>
      <c r="J404">
        <v>1008</v>
      </c>
      <c r="K404" t="s">
        <v>129</v>
      </c>
      <c r="N404" t="s">
        <v>127</v>
      </c>
      <c r="O404">
        <v>0</v>
      </c>
      <c r="P404">
        <v>3</v>
      </c>
      <c r="Q404">
        <v>0</v>
      </c>
      <c r="R404">
        <v>2</v>
      </c>
      <c r="S404">
        <v>1</v>
      </c>
      <c r="T404">
        <v>0</v>
      </c>
      <c r="U404">
        <v>0</v>
      </c>
      <c r="W404" t="str">
        <f>"17:47:26.102"</f>
        <v>17:47:26.102</v>
      </c>
      <c r="X404" t="str">
        <f>"17:47:26.002"</f>
        <v>17:47:26.002</v>
      </c>
      <c r="Y404" t="str">
        <f t="shared" si="61"/>
        <v>A7C771</v>
      </c>
      <c r="Z404">
        <v>0</v>
      </c>
      <c r="AA404">
        <v>0</v>
      </c>
      <c r="AB404">
        <v>2</v>
      </c>
      <c r="AC404">
        <v>0</v>
      </c>
      <c r="AE404">
        <v>0</v>
      </c>
      <c r="AF404">
        <v>8</v>
      </c>
      <c r="AG404">
        <v>3</v>
      </c>
      <c r="AH404">
        <v>0</v>
      </c>
      <c r="AI404">
        <v>9</v>
      </c>
      <c r="AJ404" t="s">
        <v>125</v>
      </c>
      <c r="AK404">
        <v>0</v>
      </c>
      <c r="AL404">
        <v>3</v>
      </c>
      <c r="AM404">
        <v>2</v>
      </c>
      <c r="AN404">
        <v>1</v>
      </c>
      <c r="AO404" t="s">
        <v>889</v>
      </c>
      <c r="AP404">
        <v>43.061363999999998</v>
      </c>
      <c r="AQ404" t="s">
        <v>890</v>
      </c>
      <c r="AR404">
        <v>-77.565064000000007</v>
      </c>
      <c r="AS404">
        <v>25</v>
      </c>
      <c r="AT404">
        <v>1875</v>
      </c>
      <c r="AU404" t="s">
        <v>123</v>
      </c>
      <c r="AV404">
        <v>3</v>
      </c>
      <c r="AW404">
        <v>167</v>
      </c>
      <c r="AX404">
        <v>64</v>
      </c>
      <c r="AZ404">
        <f t="shared" si="66"/>
        <v>9</v>
      </c>
      <c r="BA404">
        <f t="shared" si="67"/>
        <v>27889</v>
      </c>
      <c r="BB404" s="1">
        <f t="shared" si="68"/>
        <v>167.02694393420481</v>
      </c>
      <c r="BJ404">
        <v>1404</v>
      </c>
      <c r="BK404">
        <v>1</v>
      </c>
      <c r="BL404" t="str">
        <f t="shared" si="62"/>
        <v xml:space="preserve">N600C   </v>
      </c>
      <c r="BM404">
        <v>2</v>
      </c>
      <c r="BO404">
        <v>0</v>
      </c>
      <c r="BP404">
        <v>0</v>
      </c>
      <c r="BQ404">
        <v>0</v>
      </c>
      <c r="BR404">
        <v>2050</v>
      </c>
      <c r="BS404">
        <v>175</v>
      </c>
      <c r="BT404" t="s">
        <v>128</v>
      </c>
      <c r="BU404">
        <v>0</v>
      </c>
      <c r="BV404">
        <v>0</v>
      </c>
      <c r="BW404">
        <v>0</v>
      </c>
      <c r="BX404">
        <v>1</v>
      </c>
      <c r="CA404">
        <v>0</v>
      </c>
      <c r="CB404">
        <v>0</v>
      </c>
      <c r="CC404">
        <v>0</v>
      </c>
      <c r="CM404" t="str">
        <f>"17:47:26.106"</f>
        <v>17:47:26.106</v>
      </c>
      <c r="CN404">
        <v>106487501</v>
      </c>
      <c r="CQ404">
        <v>0</v>
      </c>
      <c r="CR404">
        <v>2496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3</v>
      </c>
      <c r="DB404">
        <v>2</v>
      </c>
      <c r="DC404">
        <v>0</v>
      </c>
      <c r="DD404">
        <v>2</v>
      </c>
      <c r="DE404">
        <v>0</v>
      </c>
      <c r="DF404">
        <v>7</v>
      </c>
      <c r="DG404">
        <v>7</v>
      </c>
      <c r="DH404" t="s">
        <v>124</v>
      </c>
      <c r="DI404">
        <v>71</v>
      </c>
      <c r="DJ404">
        <v>0</v>
      </c>
      <c r="DK404" t="s">
        <v>134</v>
      </c>
      <c r="DL404" t="s">
        <v>135</v>
      </c>
      <c r="DO404">
        <v>10226955</v>
      </c>
      <c r="DQ404">
        <v>0</v>
      </c>
      <c r="DR404">
        <v>0</v>
      </c>
      <c r="DS404">
        <v>1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</row>
    <row r="405" spans="1:131" x14ac:dyDescent="0.35">
      <c r="A405" s="2" t="str">
        <f>"17:47:27.241"</f>
        <v>17:47:27.241</v>
      </c>
      <c r="B405" s="4">
        <f t="shared" si="69"/>
        <v>64047.241000000002</v>
      </c>
      <c r="C405" s="4">
        <f t="shared" si="63"/>
        <v>447.2410000000018</v>
      </c>
      <c r="D405" s="3">
        <f t="shared" si="64"/>
        <v>0.74128751157407413</v>
      </c>
      <c r="E405" s="2">
        <f t="shared" si="65"/>
        <v>0.74128751157407413</v>
      </c>
      <c r="G405" t="str">
        <f t="shared" si="60"/>
        <v>FFDFD7C0</v>
      </c>
      <c r="H405" t="s">
        <v>126</v>
      </c>
      <c r="I405">
        <v>8</v>
      </c>
      <c r="J405">
        <v>1008</v>
      </c>
      <c r="K405" t="s">
        <v>129</v>
      </c>
      <c r="N405" t="s">
        <v>127</v>
      </c>
      <c r="O405">
        <v>0</v>
      </c>
      <c r="P405">
        <v>3</v>
      </c>
      <c r="Q405">
        <v>0</v>
      </c>
      <c r="R405">
        <v>2</v>
      </c>
      <c r="S405">
        <v>1</v>
      </c>
      <c r="T405">
        <v>0</v>
      </c>
      <c r="U405">
        <v>0</v>
      </c>
      <c r="W405" t="str">
        <f>"17:47:27.023"</f>
        <v>17:47:27.023</v>
      </c>
      <c r="X405" t="str">
        <f>"17:47:27.023"</f>
        <v>17:47:27.023</v>
      </c>
      <c r="Y405" t="str">
        <f t="shared" si="61"/>
        <v>A7C771</v>
      </c>
      <c r="Z405">
        <v>0</v>
      </c>
      <c r="AA405">
        <v>0</v>
      </c>
      <c r="AB405">
        <v>2</v>
      </c>
      <c r="AC405">
        <v>0</v>
      </c>
      <c r="AE405">
        <v>0</v>
      </c>
      <c r="AF405">
        <v>8</v>
      </c>
      <c r="AG405">
        <v>3</v>
      </c>
      <c r="AH405">
        <v>0</v>
      </c>
      <c r="AI405">
        <v>9</v>
      </c>
      <c r="AJ405" t="s">
        <v>125</v>
      </c>
      <c r="AK405">
        <v>0</v>
      </c>
      <c r="AL405">
        <v>3</v>
      </c>
      <c r="AM405">
        <v>2</v>
      </c>
      <c r="AN405">
        <v>1</v>
      </c>
      <c r="AO405" t="s">
        <v>891</v>
      </c>
      <c r="AP405">
        <v>43.062072000000001</v>
      </c>
      <c r="AQ405" t="s">
        <v>892</v>
      </c>
      <c r="AR405">
        <v>-77.565043000000003</v>
      </c>
      <c r="AS405">
        <v>25</v>
      </c>
      <c r="AT405">
        <v>1875</v>
      </c>
      <c r="AU405" t="s">
        <v>123</v>
      </c>
      <c r="AV405">
        <v>4</v>
      </c>
      <c r="AW405">
        <v>167</v>
      </c>
      <c r="AX405">
        <v>0</v>
      </c>
      <c r="AZ405">
        <f t="shared" si="66"/>
        <v>16</v>
      </c>
      <c r="BA405">
        <f t="shared" si="67"/>
        <v>27889</v>
      </c>
      <c r="BB405" s="1">
        <f t="shared" si="68"/>
        <v>167.04789732289359</v>
      </c>
      <c r="BJ405">
        <v>1404</v>
      </c>
      <c r="BK405">
        <v>1</v>
      </c>
      <c r="BL405" t="str">
        <f t="shared" si="62"/>
        <v xml:space="preserve">N600C   </v>
      </c>
      <c r="BM405">
        <v>2</v>
      </c>
      <c r="BO405">
        <v>0</v>
      </c>
      <c r="BP405">
        <v>0</v>
      </c>
      <c r="BQ405">
        <v>0</v>
      </c>
      <c r="BR405">
        <v>2050</v>
      </c>
      <c r="BS405">
        <v>175</v>
      </c>
      <c r="BT405" t="s">
        <v>128</v>
      </c>
      <c r="BU405">
        <v>0</v>
      </c>
      <c r="BV405">
        <v>0</v>
      </c>
      <c r="BW405">
        <v>0</v>
      </c>
      <c r="BX405">
        <v>1</v>
      </c>
      <c r="CA405">
        <v>0</v>
      </c>
      <c r="CB405">
        <v>0</v>
      </c>
      <c r="CC405">
        <v>0</v>
      </c>
      <c r="CM405" t="str">
        <f>"17:47:27.027"</f>
        <v>17:47:27.027</v>
      </c>
      <c r="CN405">
        <v>26645949</v>
      </c>
      <c r="CQ405">
        <v>0</v>
      </c>
      <c r="CR405">
        <v>2496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3</v>
      </c>
      <c r="DB405">
        <v>2</v>
      </c>
      <c r="DC405">
        <v>0</v>
      </c>
      <c r="DD405">
        <v>2</v>
      </c>
      <c r="DE405">
        <v>0</v>
      </c>
      <c r="DF405">
        <v>7</v>
      </c>
      <c r="DG405">
        <v>7</v>
      </c>
      <c r="DH405" t="s">
        <v>124</v>
      </c>
      <c r="DI405">
        <v>407</v>
      </c>
      <c r="DJ405">
        <v>3</v>
      </c>
      <c r="DK405" t="s">
        <v>132</v>
      </c>
      <c r="DL405" t="s">
        <v>133</v>
      </c>
      <c r="DO405">
        <v>1665038</v>
      </c>
      <c r="DQ405">
        <v>0</v>
      </c>
      <c r="DR405">
        <v>0</v>
      </c>
      <c r="DS405">
        <v>1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</row>
    <row r="406" spans="1:131" x14ac:dyDescent="0.35">
      <c r="A406" s="2" t="str">
        <f>"17:47:28.335"</f>
        <v>17:47:28.335</v>
      </c>
      <c r="B406" s="4">
        <f t="shared" si="69"/>
        <v>64048.334999999999</v>
      </c>
      <c r="C406" s="4">
        <f t="shared" si="63"/>
        <v>448.33499999999913</v>
      </c>
      <c r="D406" s="3">
        <f t="shared" si="64"/>
        <v>0.74130017361111111</v>
      </c>
      <c r="E406" s="2">
        <f t="shared" si="65"/>
        <v>0.74130017361111111</v>
      </c>
      <c r="G406" t="str">
        <f t="shared" si="60"/>
        <v>FFDFD7C0</v>
      </c>
      <c r="H406" t="s">
        <v>126</v>
      </c>
      <c r="I406">
        <v>8</v>
      </c>
      <c r="J406">
        <v>1008</v>
      </c>
      <c r="K406" t="s">
        <v>129</v>
      </c>
      <c r="N406" t="s">
        <v>127</v>
      </c>
      <c r="O406">
        <v>0</v>
      </c>
      <c r="P406">
        <v>3</v>
      </c>
      <c r="Q406">
        <v>0</v>
      </c>
      <c r="R406">
        <v>2</v>
      </c>
      <c r="S406">
        <v>1</v>
      </c>
      <c r="T406">
        <v>0</v>
      </c>
      <c r="U406">
        <v>0</v>
      </c>
      <c r="W406" t="str">
        <f>"17:47:28.133"</f>
        <v>17:47:28.133</v>
      </c>
      <c r="X406" t="str">
        <f>"17:47:28.133"</f>
        <v>17:47:28.133</v>
      </c>
      <c r="Y406" t="str">
        <f t="shared" si="61"/>
        <v>A7C771</v>
      </c>
      <c r="Z406">
        <v>0</v>
      </c>
      <c r="AA406">
        <v>0</v>
      </c>
      <c r="AB406">
        <v>2</v>
      </c>
      <c r="AC406">
        <v>0</v>
      </c>
      <c r="AE406">
        <v>0</v>
      </c>
      <c r="AF406">
        <v>8</v>
      </c>
      <c r="AG406">
        <v>3</v>
      </c>
      <c r="AH406">
        <v>0</v>
      </c>
      <c r="AI406">
        <v>9</v>
      </c>
      <c r="AJ406" t="s">
        <v>125</v>
      </c>
      <c r="AK406">
        <v>0</v>
      </c>
      <c r="AL406">
        <v>3</v>
      </c>
      <c r="AM406">
        <v>2</v>
      </c>
      <c r="AN406">
        <v>1</v>
      </c>
      <c r="AO406" t="s">
        <v>893</v>
      </c>
      <c r="AP406">
        <v>43.062930000000001</v>
      </c>
      <c r="AQ406" t="s">
        <v>894</v>
      </c>
      <c r="AR406">
        <v>-77.564999999999998</v>
      </c>
      <c r="AS406">
        <v>25</v>
      </c>
      <c r="AT406">
        <v>1875</v>
      </c>
      <c r="AU406" t="s">
        <v>123</v>
      </c>
      <c r="AV406">
        <v>5</v>
      </c>
      <c r="AW406">
        <v>165</v>
      </c>
      <c r="AX406">
        <v>0</v>
      </c>
      <c r="AZ406">
        <f t="shared" si="66"/>
        <v>25</v>
      </c>
      <c r="BA406">
        <f t="shared" si="67"/>
        <v>27225</v>
      </c>
      <c r="BB406" s="1">
        <f t="shared" si="68"/>
        <v>165.07574019219177</v>
      </c>
      <c r="BJ406">
        <v>1404</v>
      </c>
      <c r="BK406">
        <v>1</v>
      </c>
      <c r="BL406" t="str">
        <f t="shared" si="62"/>
        <v xml:space="preserve">N600C   </v>
      </c>
      <c r="BM406">
        <v>2</v>
      </c>
      <c r="BO406">
        <v>0</v>
      </c>
      <c r="BP406">
        <v>0</v>
      </c>
      <c r="BQ406">
        <v>0</v>
      </c>
      <c r="BR406">
        <v>2050</v>
      </c>
      <c r="BS406">
        <v>175</v>
      </c>
      <c r="BT406" t="s">
        <v>128</v>
      </c>
      <c r="BU406">
        <v>0</v>
      </c>
      <c r="BV406">
        <v>0</v>
      </c>
      <c r="BW406">
        <v>0</v>
      </c>
      <c r="BX406">
        <v>1</v>
      </c>
      <c r="CA406">
        <v>0</v>
      </c>
      <c r="CB406">
        <v>0</v>
      </c>
      <c r="CC406">
        <v>0</v>
      </c>
      <c r="CM406" t="str">
        <f>"17:47:28.139"</f>
        <v>17:47:28.139</v>
      </c>
      <c r="CN406">
        <v>138855012</v>
      </c>
      <c r="CQ406">
        <v>0</v>
      </c>
      <c r="CR406">
        <v>2496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3</v>
      </c>
      <c r="DB406">
        <v>2</v>
      </c>
      <c r="DC406">
        <v>0</v>
      </c>
      <c r="DD406">
        <v>2</v>
      </c>
      <c r="DE406">
        <v>0</v>
      </c>
      <c r="DF406">
        <v>7</v>
      </c>
      <c r="DG406">
        <v>7</v>
      </c>
      <c r="DH406" t="s">
        <v>124</v>
      </c>
      <c r="DI406">
        <v>71</v>
      </c>
      <c r="DJ406">
        <v>0</v>
      </c>
      <c r="DK406" t="s">
        <v>134</v>
      </c>
      <c r="DL406" t="s">
        <v>135</v>
      </c>
      <c r="DO406">
        <v>10228465</v>
      </c>
      <c r="DQ406">
        <v>0</v>
      </c>
      <c r="DR406">
        <v>0</v>
      </c>
      <c r="DS406">
        <v>1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</row>
    <row r="407" spans="1:131" x14ac:dyDescent="0.35">
      <c r="A407" s="2" t="str">
        <f>"17:47:29.506"</f>
        <v>17:47:29.506</v>
      </c>
      <c r="B407" s="4">
        <f t="shared" si="69"/>
        <v>64049.505999999994</v>
      </c>
      <c r="C407" s="4">
        <f t="shared" si="63"/>
        <v>449.50599999999395</v>
      </c>
      <c r="D407" s="3">
        <f t="shared" si="64"/>
        <v>0.74131372685185182</v>
      </c>
      <c r="E407" s="2">
        <f t="shared" si="65"/>
        <v>0.74131372685185182</v>
      </c>
      <c r="G407" t="str">
        <f t="shared" si="60"/>
        <v>FFDFD7C0</v>
      </c>
      <c r="H407" t="s">
        <v>126</v>
      </c>
      <c r="I407">
        <v>8</v>
      </c>
      <c r="J407">
        <v>1008</v>
      </c>
      <c r="K407" t="s">
        <v>129</v>
      </c>
      <c r="N407" t="s">
        <v>127</v>
      </c>
      <c r="O407">
        <v>0</v>
      </c>
      <c r="P407">
        <v>3</v>
      </c>
      <c r="Q407">
        <v>0</v>
      </c>
      <c r="R407">
        <v>2</v>
      </c>
      <c r="S407">
        <v>1</v>
      </c>
      <c r="T407">
        <v>0</v>
      </c>
      <c r="U407">
        <v>0</v>
      </c>
      <c r="W407" t="str">
        <f>"17:47:29.250"</f>
        <v>17:47:29.250</v>
      </c>
      <c r="X407" t="str">
        <f>"17:47:29.150"</f>
        <v>17:47:29.150</v>
      </c>
      <c r="Y407" t="str">
        <f t="shared" si="61"/>
        <v>A7C771</v>
      </c>
      <c r="Z407">
        <v>0</v>
      </c>
      <c r="AA407">
        <v>0</v>
      </c>
      <c r="AB407">
        <v>2</v>
      </c>
      <c r="AC407">
        <v>0</v>
      </c>
      <c r="AE407">
        <v>0</v>
      </c>
      <c r="AF407">
        <v>8</v>
      </c>
      <c r="AG407">
        <v>3</v>
      </c>
      <c r="AH407">
        <v>0</v>
      </c>
      <c r="AI407">
        <v>9</v>
      </c>
      <c r="AJ407" t="s">
        <v>125</v>
      </c>
      <c r="AK407">
        <v>0</v>
      </c>
      <c r="AL407">
        <v>3</v>
      </c>
      <c r="AM407">
        <v>2</v>
      </c>
      <c r="AN407">
        <v>1</v>
      </c>
      <c r="AO407" t="s">
        <v>895</v>
      </c>
      <c r="AP407">
        <v>43.063744999999997</v>
      </c>
      <c r="AQ407" t="s">
        <v>896</v>
      </c>
      <c r="AR407">
        <v>-77.564978999999994</v>
      </c>
      <c r="AS407">
        <v>25</v>
      </c>
      <c r="AT407">
        <v>1875</v>
      </c>
      <c r="AU407" t="s">
        <v>123</v>
      </c>
      <c r="AV407">
        <v>5</v>
      </c>
      <c r="AW407">
        <v>164</v>
      </c>
      <c r="AX407">
        <v>-64</v>
      </c>
      <c r="AZ407">
        <f t="shared" si="66"/>
        <v>25</v>
      </c>
      <c r="BA407">
        <f t="shared" si="67"/>
        <v>26896</v>
      </c>
      <c r="BB407" s="1">
        <f t="shared" si="68"/>
        <v>164.07620180879371</v>
      </c>
      <c r="BJ407">
        <v>1404</v>
      </c>
      <c r="BK407">
        <v>1</v>
      </c>
      <c r="BL407" t="str">
        <f t="shared" si="62"/>
        <v xml:space="preserve">N600C   </v>
      </c>
      <c r="BM407">
        <v>2</v>
      </c>
      <c r="BO407">
        <v>0</v>
      </c>
      <c r="BP407">
        <v>0</v>
      </c>
      <c r="BQ407">
        <v>0</v>
      </c>
      <c r="BR407">
        <v>2050</v>
      </c>
      <c r="BS407">
        <v>175</v>
      </c>
      <c r="BT407" t="s">
        <v>128</v>
      </c>
      <c r="BU407">
        <v>0</v>
      </c>
      <c r="BV407">
        <v>0</v>
      </c>
      <c r="BW407">
        <v>0</v>
      </c>
      <c r="BX407">
        <v>1</v>
      </c>
      <c r="CA407">
        <v>0</v>
      </c>
      <c r="CB407">
        <v>0</v>
      </c>
      <c r="CC407">
        <v>0</v>
      </c>
      <c r="CM407" t="str">
        <f>"17:47:29.251"</f>
        <v>17:47:29.251</v>
      </c>
      <c r="CN407">
        <v>251056807</v>
      </c>
      <c r="CQ407">
        <v>0</v>
      </c>
      <c r="CR407">
        <v>2496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3</v>
      </c>
      <c r="DB407">
        <v>2</v>
      </c>
      <c r="DC407">
        <v>0</v>
      </c>
      <c r="DD407">
        <v>2</v>
      </c>
      <c r="DE407">
        <v>0</v>
      </c>
      <c r="DF407">
        <v>7</v>
      </c>
      <c r="DG407">
        <v>7</v>
      </c>
      <c r="DH407" t="s">
        <v>124</v>
      </c>
      <c r="DI407">
        <v>407</v>
      </c>
      <c r="DJ407">
        <v>3</v>
      </c>
      <c r="DK407" t="s">
        <v>132</v>
      </c>
      <c r="DL407" t="s">
        <v>133</v>
      </c>
      <c r="DO407">
        <v>1667197</v>
      </c>
      <c r="DQ407">
        <v>0</v>
      </c>
      <c r="DR407">
        <v>0</v>
      </c>
      <c r="DS407">
        <v>1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</row>
    <row r="408" spans="1:131" x14ac:dyDescent="0.35">
      <c r="A408" s="2" t="str">
        <f>"17:47:30.569"</f>
        <v>17:47:30.569</v>
      </c>
      <c r="B408" s="4">
        <f t="shared" si="69"/>
        <v>64050.56900000001</v>
      </c>
      <c r="C408" s="4">
        <f t="shared" si="63"/>
        <v>450.56900000001042</v>
      </c>
      <c r="D408" s="3">
        <f t="shared" si="64"/>
        <v>0.74132603009259268</v>
      </c>
      <c r="E408" s="2">
        <f t="shared" si="65"/>
        <v>0.74132603009259268</v>
      </c>
      <c r="G408" t="str">
        <f t="shared" si="60"/>
        <v>FFDFD7C0</v>
      </c>
      <c r="H408" t="s">
        <v>126</v>
      </c>
      <c r="I408">
        <v>8</v>
      </c>
      <c r="J408">
        <v>1008</v>
      </c>
      <c r="K408" t="s">
        <v>129</v>
      </c>
      <c r="N408" t="s">
        <v>127</v>
      </c>
      <c r="O408">
        <v>0</v>
      </c>
      <c r="P408">
        <v>3</v>
      </c>
      <c r="Q408">
        <v>0</v>
      </c>
      <c r="R408">
        <v>2</v>
      </c>
      <c r="S408">
        <v>1</v>
      </c>
      <c r="T408">
        <v>0</v>
      </c>
      <c r="U408">
        <v>0</v>
      </c>
      <c r="W408" t="str">
        <f>"17:47:30.297"</f>
        <v>17:47:30.297</v>
      </c>
      <c r="X408" t="str">
        <f>"17:47:30.097"</f>
        <v>17:47:30.097</v>
      </c>
      <c r="Y408" t="str">
        <f t="shared" si="61"/>
        <v>A7C771</v>
      </c>
      <c r="Z408">
        <v>0</v>
      </c>
      <c r="AA408">
        <v>0</v>
      </c>
      <c r="AB408">
        <v>2</v>
      </c>
      <c r="AC408">
        <v>0</v>
      </c>
      <c r="AE408">
        <v>0</v>
      </c>
      <c r="AF408">
        <v>8</v>
      </c>
      <c r="AG408">
        <v>3</v>
      </c>
      <c r="AH408">
        <v>0</v>
      </c>
      <c r="AI408">
        <v>9</v>
      </c>
      <c r="AJ408" t="s">
        <v>125</v>
      </c>
      <c r="AK408">
        <v>0</v>
      </c>
      <c r="AL408">
        <v>3</v>
      </c>
      <c r="AM408">
        <v>2</v>
      </c>
      <c r="AN408">
        <v>1</v>
      </c>
      <c r="AO408" t="s">
        <v>897</v>
      </c>
      <c r="AP408">
        <v>43.064582000000001</v>
      </c>
      <c r="AQ408" t="s">
        <v>898</v>
      </c>
      <c r="AR408">
        <v>-77.564936000000003</v>
      </c>
      <c r="AS408">
        <v>25</v>
      </c>
      <c r="AT408">
        <v>1875</v>
      </c>
      <c r="AU408" t="s">
        <v>123</v>
      </c>
      <c r="AV408">
        <v>5</v>
      </c>
      <c r="AW408">
        <v>164</v>
      </c>
      <c r="AX408">
        <v>-64</v>
      </c>
      <c r="AZ408">
        <f t="shared" si="66"/>
        <v>25</v>
      </c>
      <c r="BA408">
        <f t="shared" si="67"/>
        <v>26896</v>
      </c>
      <c r="BB408" s="1">
        <f t="shared" si="68"/>
        <v>164.07620180879371</v>
      </c>
      <c r="BJ408">
        <v>1404</v>
      </c>
      <c r="BK408">
        <v>1</v>
      </c>
      <c r="BL408" t="str">
        <f t="shared" si="62"/>
        <v xml:space="preserve">N600C   </v>
      </c>
      <c r="BM408">
        <v>2</v>
      </c>
      <c r="BO408">
        <v>0</v>
      </c>
      <c r="BP408">
        <v>0</v>
      </c>
      <c r="BQ408">
        <v>0</v>
      </c>
      <c r="BR408">
        <v>2050</v>
      </c>
      <c r="BS408">
        <v>175</v>
      </c>
      <c r="BT408" t="s">
        <v>128</v>
      </c>
      <c r="BU408">
        <v>0</v>
      </c>
      <c r="BV408">
        <v>0</v>
      </c>
      <c r="BW408">
        <v>0</v>
      </c>
      <c r="BX408">
        <v>1</v>
      </c>
      <c r="CA408">
        <v>0</v>
      </c>
      <c r="CB408">
        <v>0</v>
      </c>
      <c r="CC408">
        <v>0</v>
      </c>
      <c r="CM408" t="str">
        <f>"17:47:30.299"</f>
        <v>17:47:30.299</v>
      </c>
      <c r="CN408">
        <v>299241867</v>
      </c>
      <c r="CQ408">
        <v>0</v>
      </c>
      <c r="CR408">
        <v>2496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3</v>
      </c>
      <c r="DB408">
        <v>2</v>
      </c>
      <c r="DC408">
        <v>0</v>
      </c>
      <c r="DD408">
        <v>2</v>
      </c>
      <c r="DE408">
        <v>0</v>
      </c>
      <c r="DF408">
        <v>7</v>
      </c>
      <c r="DG408">
        <v>7</v>
      </c>
      <c r="DH408" t="s">
        <v>124</v>
      </c>
      <c r="DI408">
        <v>407</v>
      </c>
      <c r="DJ408">
        <v>3</v>
      </c>
      <c r="DK408" t="s">
        <v>132</v>
      </c>
      <c r="DL408" t="s">
        <v>133</v>
      </c>
      <c r="DO408">
        <v>1668248</v>
      </c>
      <c r="DQ408">
        <v>0</v>
      </c>
      <c r="DR408">
        <v>0</v>
      </c>
      <c r="DS408">
        <v>1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</row>
    <row r="409" spans="1:131" x14ac:dyDescent="0.35">
      <c r="A409" s="2" t="str">
        <f>"17:47:31.600"</f>
        <v>17:47:31.600</v>
      </c>
      <c r="B409" s="4">
        <f t="shared" si="69"/>
        <v>64051.6</v>
      </c>
      <c r="C409" s="4">
        <f t="shared" si="63"/>
        <v>451.59999999999854</v>
      </c>
      <c r="D409" s="3">
        <f t="shared" si="64"/>
        <v>0.74133796296296295</v>
      </c>
      <c r="E409" s="2">
        <f t="shared" si="65"/>
        <v>0.74133796296296295</v>
      </c>
      <c r="G409" t="str">
        <f t="shared" si="60"/>
        <v>FFDFD7C0</v>
      </c>
      <c r="H409" t="s">
        <v>126</v>
      </c>
      <c r="I409">
        <v>8</v>
      </c>
      <c r="J409">
        <v>1008</v>
      </c>
      <c r="K409" t="s">
        <v>129</v>
      </c>
      <c r="N409" t="s">
        <v>127</v>
      </c>
      <c r="O409">
        <v>0</v>
      </c>
      <c r="P409">
        <v>3</v>
      </c>
      <c r="Q409">
        <v>0</v>
      </c>
      <c r="R409">
        <v>2</v>
      </c>
      <c r="S409">
        <v>1</v>
      </c>
      <c r="T409">
        <v>0</v>
      </c>
      <c r="U409">
        <v>0</v>
      </c>
      <c r="W409" t="str">
        <f>"17:47:31.297"</f>
        <v>17:47:31.297</v>
      </c>
      <c r="X409" t="str">
        <f>"17:47:31.097"</f>
        <v>17:47:31.097</v>
      </c>
      <c r="Y409" t="str">
        <f t="shared" si="61"/>
        <v>A7C771</v>
      </c>
      <c r="Z409">
        <v>0</v>
      </c>
      <c r="AA409">
        <v>0</v>
      </c>
      <c r="AB409">
        <v>2</v>
      </c>
      <c r="AC409">
        <v>0</v>
      </c>
      <c r="AE409">
        <v>0</v>
      </c>
      <c r="AF409">
        <v>8</v>
      </c>
      <c r="AG409">
        <v>3</v>
      </c>
      <c r="AH409">
        <v>0</v>
      </c>
      <c r="AI409">
        <v>9</v>
      </c>
      <c r="AJ409" t="s">
        <v>125</v>
      </c>
      <c r="AK409">
        <v>0</v>
      </c>
      <c r="AL409">
        <v>3</v>
      </c>
      <c r="AM409">
        <v>2</v>
      </c>
      <c r="AN409">
        <v>1</v>
      </c>
      <c r="AO409" t="s">
        <v>899</v>
      </c>
      <c r="AP409">
        <v>43.065354999999997</v>
      </c>
      <c r="AQ409" t="s">
        <v>900</v>
      </c>
      <c r="AR409">
        <v>-77.564870999999997</v>
      </c>
      <c r="AS409">
        <v>25</v>
      </c>
      <c r="AT409">
        <v>1875</v>
      </c>
      <c r="AU409" t="s">
        <v>123</v>
      </c>
      <c r="AV409">
        <v>5</v>
      </c>
      <c r="AW409">
        <v>162</v>
      </c>
      <c r="AX409">
        <v>-192</v>
      </c>
      <c r="AZ409">
        <f t="shared" si="66"/>
        <v>25</v>
      </c>
      <c r="BA409">
        <f t="shared" si="67"/>
        <v>26244</v>
      </c>
      <c r="BB409" s="1">
        <f t="shared" si="68"/>
        <v>162.07714212682799</v>
      </c>
      <c r="BJ409">
        <v>1404</v>
      </c>
      <c r="BK409">
        <v>1</v>
      </c>
      <c r="BL409" t="str">
        <f t="shared" si="62"/>
        <v xml:space="preserve">N600C   </v>
      </c>
      <c r="BM409">
        <v>2</v>
      </c>
      <c r="BO409">
        <v>0</v>
      </c>
      <c r="BP409">
        <v>0</v>
      </c>
      <c r="BQ409">
        <v>0</v>
      </c>
      <c r="BR409">
        <v>2050</v>
      </c>
      <c r="BS409">
        <v>175</v>
      </c>
      <c r="BT409" t="s">
        <v>128</v>
      </c>
      <c r="BU409">
        <v>0</v>
      </c>
      <c r="BV409">
        <v>0</v>
      </c>
      <c r="BW409">
        <v>0</v>
      </c>
      <c r="BX409">
        <v>1</v>
      </c>
      <c r="CA409">
        <v>0</v>
      </c>
      <c r="CB409">
        <v>0</v>
      </c>
      <c r="CC409">
        <v>0</v>
      </c>
      <c r="CM409" t="str">
        <f>"17:47:31.299"</f>
        <v>17:47:31.299</v>
      </c>
      <c r="CN409">
        <v>299421766</v>
      </c>
      <c r="CQ409">
        <v>0</v>
      </c>
      <c r="CR409">
        <v>2496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3</v>
      </c>
      <c r="DB409">
        <v>2</v>
      </c>
      <c r="DC409">
        <v>0</v>
      </c>
      <c r="DD409">
        <v>2</v>
      </c>
      <c r="DE409">
        <v>0</v>
      </c>
      <c r="DF409">
        <v>7</v>
      </c>
      <c r="DG409">
        <v>7</v>
      </c>
      <c r="DH409" t="s">
        <v>124</v>
      </c>
      <c r="DI409">
        <v>71</v>
      </c>
      <c r="DJ409">
        <v>0</v>
      </c>
      <c r="DK409" t="s">
        <v>134</v>
      </c>
      <c r="DL409" t="s">
        <v>135</v>
      </c>
      <c r="DO409">
        <v>10230708</v>
      </c>
      <c r="DQ409">
        <v>0</v>
      </c>
      <c r="DR409">
        <v>0</v>
      </c>
      <c r="DS409">
        <v>1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</row>
    <row r="410" spans="1:131" x14ac:dyDescent="0.35">
      <c r="A410" s="2" t="str">
        <f>"17:47:32.553"</f>
        <v>17:47:32.553</v>
      </c>
      <c r="B410" s="4">
        <f t="shared" si="69"/>
        <v>64052.553</v>
      </c>
      <c r="C410" s="4">
        <f t="shared" si="63"/>
        <v>452.55299999999988</v>
      </c>
      <c r="D410" s="3">
        <f t="shared" si="64"/>
        <v>0.74134899305555557</v>
      </c>
      <c r="E410" s="2">
        <f t="shared" si="65"/>
        <v>0.74134899305555557</v>
      </c>
      <c r="G410" t="str">
        <f t="shared" si="60"/>
        <v>FFDFD7C0</v>
      </c>
      <c r="H410" t="s">
        <v>126</v>
      </c>
      <c r="I410">
        <v>8</v>
      </c>
      <c r="J410">
        <v>1008</v>
      </c>
      <c r="K410" t="s">
        <v>129</v>
      </c>
      <c r="N410" t="s">
        <v>127</v>
      </c>
      <c r="O410">
        <v>0</v>
      </c>
      <c r="P410">
        <v>3</v>
      </c>
      <c r="Q410">
        <v>0</v>
      </c>
      <c r="R410">
        <v>2</v>
      </c>
      <c r="S410">
        <v>1</v>
      </c>
      <c r="T410">
        <v>0</v>
      </c>
      <c r="U410">
        <v>0</v>
      </c>
      <c r="W410" t="str">
        <f>"17:47:32.281"</f>
        <v>17:47:32.281</v>
      </c>
      <c r="X410" t="str">
        <f>"17:47:31.981"</f>
        <v>17:47:31.981</v>
      </c>
      <c r="Y410" t="str">
        <f t="shared" si="61"/>
        <v>A7C771</v>
      </c>
      <c r="Z410">
        <v>0</v>
      </c>
      <c r="AA410">
        <v>0</v>
      </c>
      <c r="AB410">
        <v>2</v>
      </c>
      <c r="AC410">
        <v>0</v>
      </c>
      <c r="AE410">
        <v>0</v>
      </c>
      <c r="AF410">
        <v>8</v>
      </c>
      <c r="AG410">
        <v>3</v>
      </c>
      <c r="AH410">
        <v>0</v>
      </c>
      <c r="AI410">
        <v>9</v>
      </c>
      <c r="AJ410" t="s">
        <v>125</v>
      </c>
      <c r="AK410">
        <v>0</v>
      </c>
      <c r="AL410">
        <v>3</v>
      </c>
      <c r="AM410">
        <v>2</v>
      </c>
      <c r="AN410">
        <v>1</v>
      </c>
      <c r="AO410" t="s">
        <v>901</v>
      </c>
      <c r="AP410">
        <v>43.066083999999996</v>
      </c>
      <c r="AQ410" t="s">
        <v>902</v>
      </c>
      <c r="AR410">
        <v>-77.564828000000006</v>
      </c>
      <c r="AS410">
        <v>25</v>
      </c>
      <c r="AT410">
        <v>1875</v>
      </c>
      <c r="AU410" t="s">
        <v>123</v>
      </c>
      <c r="AV410">
        <v>5</v>
      </c>
      <c r="AW410">
        <v>162</v>
      </c>
      <c r="AX410">
        <v>-192</v>
      </c>
      <c r="AZ410">
        <f t="shared" si="66"/>
        <v>25</v>
      </c>
      <c r="BA410">
        <f t="shared" si="67"/>
        <v>26244</v>
      </c>
      <c r="BB410" s="1">
        <f t="shared" si="68"/>
        <v>162.07714212682799</v>
      </c>
      <c r="BJ410">
        <v>1404</v>
      </c>
      <c r="BK410">
        <v>1</v>
      </c>
      <c r="BL410" t="str">
        <f t="shared" si="62"/>
        <v xml:space="preserve">N600C   </v>
      </c>
      <c r="BM410">
        <v>2</v>
      </c>
      <c r="BO410">
        <v>0</v>
      </c>
      <c r="BP410">
        <v>0</v>
      </c>
      <c r="BQ410">
        <v>0</v>
      </c>
      <c r="BR410">
        <v>2050</v>
      </c>
      <c r="BS410">
        <v>175</v>
      </c>
      <c r="BT410" t="s">
        <v>128</v>
      </c>
      <c r="BU410">
        <v>0</v>
      </c>
      <c r="BV410">
        <v>0</v>
      </c>
      <c r="BW410">
        <v>0</v>
      </c>
      <c r="BX410">
        <v>1</v>
      </c>
      <c r="CA410">
        <v>0</v>
      </c>
      <c r="CB410">
        <v>0</v>
      </c>
      <c r="CC410">
        <v>0</v>
      </c>
      <c r="CM410" t="str">
        <f>"17:47:32.284"</f>
        <v>17:47:32.284</v>
      </c>
      <c r="CN410">
        <v>283602215</v>
      </c>
      <c r="CQ410">
        <v>0</v>
      </c>
      <c r="CR410">
        <v>2496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3</v>
      </c>
      <c r="DB410">
        <v>2</v>
      </c>
      <c r="DC410">
        <v>0</v>
      </c>
      <c r="DD410">
        <v>2</v>
      </c>
      <c r="DE410">
        <v>0</v>
      </c>
      <c r="DF410">
        <v>7</v>
      </c>
      <c r="DG410">
        <v>7</v>
      </c>
      <c r="DH410" t="s">
        <v>124</v>
      </c>
      <c r="DI410">
        <v>71</v>
      </c>
      <c r="DJ410">
        <v>1</v>
      </c>
      <c r="DK410" t="s">
        <v>134</v>
      </c>
      <c r="DL410" t="s">
        <v>135</v>
      </c>
      <c r="DO410">
        <v>11593394</v>
      </c>
      <c r="DQ410">
        <v>0</v>
      </c>
      <c r="DR410">
        <v>0</v>
      </c>
      <c r="DS410">
        <v>1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</row>
    <row r="411" spans="1:131" x14ac:dyDescent="0.35">
      <c r="A411" s="2" t="str">
        <f>"17:47:33.788"</f>
        <v>17:47:33.788</v>
      </c>
      <c r="B411" s="4">
        <f t="shared" si="69"/>
        <v>64053.788</v>
      </c>
      <c r="C411" s="4">
        <f t="shared" si="63"/>
        <v>453.78800000000047</v>
      </c>
      <c r="D411" s="3">
        <f t="shared" si="64"/>
        <v>0.74136328703703702</v>
      </c>
      <c r="E411" s="2">
        <f t="shared" si="65"/>
        <v>0.74136328703703702</v>
      </c>
      <c r="G411" t="str">
        <f t="shared" si="60"/>
        <v>FFDFD7C0</v>
      </c>
      <c r="H411" t="s">
        <v>126</v>
      </c>
      <c r="I411">
        <v>8</v>
      </c>
      <c r="J411">
        <v>1008</v>
      </c>
      <c r="K411" t="s">
        <v>129</v>
      </c>
      <c r="N411" t="s">
        <v>127</v>
      </c>
      <c r="O411">
        <v>0</v>
      </c>
      <c r="P411">
        <v>3</v>
      </c>
      <c r="Q411">
        <v>0</v>
      </c>
      <c r="R411">
        <v>2</v>
      </c>
      <c r="S411">
        <v>1</v>
      </c>
      <c r="T411">
        <v>0</v>
      </c>
      <c r="U411">
        <v>0</v>
      </c>
      <c r="W411" t="str">
        <f>"17:47:33.398"</f>
        <v>17:47:33.398</v>
      </c>
      <c r="X411" t="str">
        <f>"17:47:32.898"</f>
        <v>17:47:32.898</v>
      </c>
      <c r="Y411" t="str">
        <f t="shared" si="61"/>
        <v>A7C771</v>
      </c>
      <c r="Z411">
        <v>0</v>
      </c>
      <c r="AA411">
        <v>0</v>
      </c>
      <c r="AB411">
        <v>2</v>
      </c>
      <c r="AC411">
        <v>0</v>
      </c>
      <c r="AE411">
        <v>0</v>
      </c>
      <c r="AF411">
        <v>8</v>
      </c>
      <c r="AG411">
        <v>3</v>
      </c>
      <c r="AH411">
        <v>0</v>
      </c>
      <c r="AI411">
        <v>9</v>
      </c>
      <c r="AJ411" t="s">
        <v>125</v>
      </c>
      <c r="AK411">
        <v>0</v>
      </c>
      <c r="AL411">
        <v>3</v>
      </c>
      <c r="AM411">
        <v>2</v>
      </c>
      <c r="AN411">
        <v>1</v>
      </c>
      <c r="AO411" t="s">
        <v>903</v>
      </c>
      <c r="AP411">
        <v>43.066921000000001</v>
      </c>
      <c r="AQ411" t="s">
        <v>904</v>
      </c>
      <c r="AR411">
        <v>-77.564850000000007</v>
      </c>
      <c r="AS411">
        <v>25</v>
      </c>
      <c r="AT411">
        <v>1875</v>
      </c>
      <c r="AU411" t="s">
        <v>123</v>
      </c>
      <c r="AV411">
        <v>5</v>
      </c>
      <c r="AW411">
        <v>162</v>
      </c>
      <c r="AX411">
        <v>-192</v>
      </c>
      <c r="AZ411">
        <f t="shared" si="66"/>
        <v>25</v>
      </c>
      <c r="BA411">
        <f t="shared" si="67"/>
        <v>26244</v>
      </c>
      <c r="BB411" s="1">
        <f t="shared" si="68"/>
        <v>162.07714212682799</v>
      </c>
      <c r="BJ411">
        <v>1404</v>
      </c>
      <c r="BK411">
        <v>1</v>
      </c>
      <c r="BL411" t="str">
        <f t="shared" si="62"/>
        <v xml:space="preserve">N600C   </v>
      </c>
      <c r="BM411">
        <v>2</v>
      </c>
      <c r="BO411">
        <v>0</v>
      </c>
      <c r="BP411">
        <v>0</v>
      </c>
      <c r="BQ411">
        <v>0</v>
      </c>
      <c r="BR411">
        <v>2050</v>
      </c>
      <c r="BS411">
        <v>175</v>
      </c>
      <c r="BT411" t="s">
        <v>128</v>
      </c>
      <c r="BU411">
        <v>0</v>
      </c>
      <c r="BV411">
        <v>0</v>
      </c>
      <c r="BW411">
        <v>0</v>
      </c>
      <c r="BX411">
        <v>1</v>
      </c>
      <c r="CA411">
        <v>0</v>
      </c>
      <c r="CB411">
        <v>0</v>
      </c>
      <c r="CC411">
        <v>0</v>
      </c>
      <c r="CM411" t="str">
        <f>"17:47:33.404"</f>
        <v>17:47:33.404</v>
      </c>
      <c r="CN411">
        <v>403849834</v>
      </c>
      <c r="CQ411">
        <v>0</v>
      </c>
      <c r="CR411">
        <v>2496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3</v>
      </c>
      <c r="DB411">
        <v>2</v>
      </c>
      <c r="DC411">
        <v>0</v>
      </c>
      <c r="DD411">
        <v>2</v>
      </c>
      <c r="DE411">
        <v>0</v>
      </c>
      <c r="DF411">
        <v>7</v>
      </c>
      <c r="DG411">
        <v>7</v>
      </c>
      <c r="DH411" t="s">
        <v>124</v>
      </c>
      <c r="DI411">
        <v>407</v>
      </c>
      <c r="DJ411">
        <v>3</v>
      </c>
      <c r="DK411" t="s">
        <v>132</v>
      </c>
      <c r="DL411" t="s">
        <v>133</v>
      </c>
      <c r="DO411">
        <v>1671574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</row>
    <row r="412" spans="1:131" x14ac:dyDescent="0.35">
      <c r="A412" s="2" t="str">
        <f>"17:47:34.803"</f>
        <v>17:47:34.803</v>
      </c>
      <c r="B412" s="4">
        <f t="shared" si="69"/>
        <v>64054.803</v>
      </c>
      <c r="C412" s="4">
        <f t="shared" si="63"/>
        <v>454.80299999999988</v>
      </c>
      <c r="D412" s="3">
        <f t="shared" si="64"/>
        <v>0.74137503472222221</v>
      </c>
      <c r="E412" s="2">
        <f t="shared" si="65"/>
        <v>0.74137503472222221</v>
      </c>
      <c r="G412" t="str">
        <f t="shared" si="60"/>
        <v>FFDFD7C0</v>
      </c>
      <c r="H412" t="s">
        <v>126</v>
      </c>
      <c r="I412">
        <v>8</v>
      </c>
      <c r="J412">
        <v>1008</v>
      </c>
      <c r="K412" t="s">
        <v>129</v>
      </c>
      <c r="N412" t="s">
        <v>127</v>
      </c>
      <c r="O412">
        <v>0</v>
      </c>
      <c r="P412">
        <v>3</v>
      </c>
      <c r="Q412">
        <v>0</v>
      </c>
      <c r="R412">
        <v>2</v>
      </c>
      <c r="S412">
        <v>1</v>
      </c>
      <c r="T412">
        <v>0</v>
      </c>
      <c r="U412">
        <v>0</v>
      </c>
      <c r="W412" t="str">
        <f>"17:47:34.484"</f>
        <v>17:47:34.484</v>
      </c>
      <c r="X412" t="str">
        <f>"17:47:34.484"</f>
        <v>17:47:34.484</v>
      </c>
      <c r="Y412" t="str">
        <f t="shared" si="61"/>
        <v>A7C771</v>
      </c>
      <c r="Z412">
        <v>0</v>
      </c>
      <c r="AA412">
        <v>0</v>
      </c>
      <c r="AB412">
        <v>2</v>
      </c>
      <c r="AC412">
        <v>0</v>
      </c>
      <c r="AE412">
        <v>0</v>
      </c>
      <c r="AF412">
        <v>8</v>
      </c>
      <c r="AG412">
        <v>3</v>
      </c>
      <c r="AH412">
        <v>0</v>
      </c>
      <c r="AI412">
        <v>9</v>
      </c>
      <c r="AJ412" t="s">
        <v>125</v>
      </c>
      <c r="AK412">
        <v>0</v>
      </c>
      <c r="AL412">
        <v>3</v>
      </c>
      <c r="AM412">
        <v>2</v>
      </c>
      <c r="AN412">
        <v>1</v>
      </c>
      <c r="AO412" t="s">
        <v>905</v>
      </c>
      <c r="AP412">
        <v>43.067737000000001</v>
      </c>
      <c r="AQ412" t="s">
        <v>906</v>
      </c>
      <c r="AR412">
        <v>-77.564763999999997</v>
      </c>
      <c r="AS412">
        <v>25</v>
      </c>
      <c r="AT412">
        <v>1850</v>
      </c>
      <c r="AU412" t="s">
        <v>123</v>
      </c>
      <c r="AV412">
        <v>5</v>
      </c>
      <c r="AW412">
        <v>160</v>
      </c>
      <c r="AX412">
        <v>-384</v>
      </c>
      <c r="AZ412">
        <f t="shared" si="66"/>
        <v>25</v>
      </c>
      <c r="BA412">
        <f t="shared" si="67"/>
        <v>25600</v>
      </c>
      <c r="BB412" s="1">
        <f t="shared" si="68"/>
        <v>160.07810593582121</v>
      </c>
      <c r="BJ412">
        <v>1404</v>
      </c>
      <c r="BK412">
        <v>1</v>
      </c>
      <c r="BL412" t="str">
        <f t="shared" si="62"/>
        <v xml:space="preserve">N600C   </v>
      </c>
      <c r="BM412">
        <v>2</v>
      </c>
      <c r="BO412">
        <v>0</v>
      </c>
      <c r="BP412">
        <v>0</v>
      </c>
      <c r="BQ412">
        <v>0</v>
      </c>
      <c r="BR412">
        <v>2025</v>
      </c>
      <c r="BS412">
        <v>175</v>
      </c>
      <c r="BT412" t="s">
        <v>128</v>
      </c>
      <c r="BU412">
        <v>0</v>
      </c>
      <c r="BV412">
        <v>0</v>
      </c>
      <c r="BW412">
        <v>0</v>
      </c>
      <c r="BX412">
        <v>1</v>
      </c>
      <c r="CA412">
        <v>0</v>
      </c>
      <c r="CB412">
        <v>0</v>
      </c>
      <c r="CC412">
        <v>0</v>
      </c>
      <c r="CM412" t="str">
        <f>"17:47:34.492"</f>
        <v>17:47:34.492</v>
      </c>
      <c r="CN412">
        <v>492005315</v>
      </c>
      <c r="CQ412">
        <v>0</v>
      </c>
      <c r="CR412">
        <v>2496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3</v>
      </c>
      <c r="DB412">
        <v>2</v>
      </c>
      <c r="DC412">
        <v>0</v>
      </c>
      <c r="DD412">
        <v>2</v>
      </c>
      <c r="DE412">
        <v>0</v>
      </c>
      <c r="DF412">
        <v>7</v>
      </c>
      <c r="DG412">
        <v>7</v>
      </c>
      <c r="DH412" t="s">
        <v>124</v>
      </c>
      <c r="DI412">
        <v>71</v>
      </c>
      <c r="DJ412">
        <v>0</v>
      </c>
      <c r="DK412" t="s">
        <v>134</v>
      </c>
      <c r="DL412" t="s">
        <v>135</v>
      </c>
      <c r="DO412">
        <v>10232985</v>
      </c>
      <c r="DQ412">
        <v>0</v>
      </c>
      <c r="DR412">
        <v>0</v>
      </c>
      <c r="DS412">
        <v>1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</row>
    <row r="413" spans="1:131" x14ac:dyDescent="0.35">
      <c r="A413" s="2" t="str">
        <f>"17:47:35.772"</f>
        <v>17:47:35.772</v>
      </c>
      <c r="B413" s="4">
        <f t="shared" si="69"/>
        <v>64055.77199999999</v>
      </c>
      <c r="C413" s="4">
        <f t="shared" si="63"/>
        <v>455.77199999998993</v>
      </c>
      <c r="D413" s="3">
        <f t="shared" si="64"/>
        <v>0.74138624999999991</v>
      </c>
      <c r="E413" s="2">
        <f t="shared" si="65"/>
        <v>0.74138624999999991</v>
      </c>
      <c r="G413" t="str">
        <f t="shared" si="60"/>
        <v>FFDFD7C0</v>
      </c>
      <c r="H413" t="s">
        <v>126</v>
      </c>
      <c r="I413">
        <v>8</v>
      </c>
      <c r="J413">
        <v>1008</v>
      </c>
      <c r="K413" t="s">
        <v>129</v>
      </c>
      <c r="N413" t="s">
        <v>127</v>
      </c>
      <c r="O413">
        <v>0</v>
      </c>
      <c r="P413">
        <v>3</v>
      </c>
      <c r="Q413">
        <v>0</v>
      </c>
      <c r="R413">
        <v>2</v>
      </c>
      <c r="S413">
        <v>1</v>
      </c>
      <c r="T413">
        <v>0</v>
      </c>
      <c r="U413">
        <v>0</v>
      </c>
      <c r="W413" t="str">
        <f>"17:47:35.477"</f>
        <v>17:47:35.477</v>
      </c>
      <c r="X413" t="str">
        <f>"17:47:35.077"</f>
        <v>17:47:35.077</v>
      </c>
      <c r="Y413" t="str">
        <f t="shared" si="61"/>
        <v>A7C771</v>
      </c>
      <c r="Z413">
        <v>0</v>
      </c>
      <c r="AA413">
        <v>0</v>
      </c>
      <c r="AB413">
        <v>2</v>
      </c>
      <c r="AC413">
        <v>0</v>
      </c>
      <c r="AE413">
        <v>0</v>
      </c>
      <c r="AF413">
        <v>8</v>
      </c>
      <c r="AG413">
        <v>3</v>
      </c>
      <c r="AH413">
        <v>0</v>
      </c>
      <c r="AI413">
        <v>9</v>
      </c>
      <c r="AJ413" t="s">
        <v>125</v>
      </c>
      <c r="AK413">
        <v>0</v>
      </c>
      <c r="AL413">
        <v>3</v>
      </c>
      <c r="AM413">
        <v>2</v>
      </c>
      <c r="AN413">
        <v>1</v>
      </c>
      <c r="AO413" t="s">
        <v>907</v>
      </c>
      <c r="AP413">
        <v>43.068466000000001</v>
      </c>
      <c r="AQ413" t="s">
        <v>906</v>
      </c>
      <c r="AR413">
        <v>-77.564763999999997</v>
      </c>
      <c r="AS413">
        <v>25</v>
      </c>
      <c r="AT413">
        <v>1850</v>
      </c>
      <c r="AU413" t="s">
        <v>123</v>
      </c>
      <c r="AV413">
        <v>5</v>
      </c>
      <c r="AW413">
        <v>160</v>
      </c>
      <c r="AX413">
        <v>-384</v>
      </c>
      <c r="AZ413">
        <f t="shared" si="66"/>
        <v>25</v>
      </c>
      <c r="BA413">
        <f t="shared" si="67"/>
        <v>25600</v>
      </c>
      <c r="BB413" s="1">
        <f t="shared" si="68"/>
        <v>160.07810593582121</v>
      </c>
      <c r="BJ413">
        <v>1404</v>
      </c>
      <c r="BK413">
        <v>1</v>
      </c>
      <c r="BL413" t="str">
        <f t="shared" si="62"/>
        <v xml:space="preserve">N600C   </v>
      </c>
      <c r="BM413">
        <v>2</v>
      </c>
      <c r="BO413">
        <v>0</v>
      </c>
      <c r="BP413">
        <v>0</v>
      </c>
      <c r="BQ413">
        <v>0</v>
      </c>
      <c r="BR413">
        <v>2025</v>
      </c>
      <c r="BS413">
        <v>175</v>
      </c>
      <c r="BT413" t="s">
        <v>128</v>
      </c>
      <c r="BU413">
        <v>0</v>
      </c>
      <c r="BV413">
        <v>0</v>
      </c>
      <c r="BW413">
        <v>0</v>
      </c>
      <c r="BX413">
        <v>1</v>
      </c>
      <c r="CA413">
        <v>0</v>
      </c>
      <c r="CB413">
        <v>0</v>
      </c>
      <c r="CC413">
        <v>0</v>
      </c>
      <c r="CM413" t="str">
        <f>"17:47:35.484"</f>
        <v>17:47:35.484</v>
      </c>
      <c r="CN413">
        <v>484193942</v>
      </c>
      <c r="CQ413">
        <v>0</v>
      </c>
      <c r="CR413">
        <v>2496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3</v>
      </c>
      <c r="DB413">
        <v>2</v>
      </c>
      <c r="DC413">
        <v>0</v>
      </c>
      <c r="DD413">
        <v>2</v>
      </c>
      <c r="DE413">
        <v>0</v>
      </c>
      <c r="DF413">
        <v>7</v>
      </c>
      <c r="DG413">
        <v>7</v>
      </c>
      <c r="DH413" t="s">
        <v>124</v>
      </c>
      <c r="DI413">
        <v>71</v>
      </c>
      <c r="DJ413">
        <v>1</v>
      </c>
      <c r="DK413" t="s">
        <v>134</v>
      </c>
      <c r="DL413" t="s">
        <v>135</v>
      </c>
      <c r="DO413">
        <v>11596083</v>
      </c>
      <c r="DQ413">
        <v>0</v>
      </c>
      <c r="DR413">
        <v>0</v>
      </c>
      <c r="DS413">
        <v>1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</row>
    <row r="414" spans="1:131" x14ac:dyDescent="0.35">
      <c r="A414" s="2" t="str">
        <f>"17:47:36.585"</f>
        <v>17:47:36.585</v>
      </c>
      <c r="B414" s="4">
        <f t="shared" si="69"/>
        <v>64056.584999999999</v>
      </c>
      <c r="C414" s="4">
        <f t="shared" si="63"/>
        <v>456.58499999999913</v>
      </c>
      <c r="D414" s="3">
        <f t="shared" si="64"/>
        <v>0.74139565972222221</v>
      </c>
      <c r="E414" s="2">
        <f t="shared" si="65"/>
        <v>0.74139565972222221</v>
      </c>
      <c r="G414" t="str">
        <f t="shared" si="60"/>
        <v>FFDFD7C0</v>
      </c>
      <c r="H414" t="s">
        <v>126</v>
      </c>
      <c r="I414">
        <v>8</v>
      </c>
      <c r="J414">
        <v>1008</v>
      </c>
      <c r="K414" t="s">
        <v>129</v>
      </c>
      <c r="N414" t="s">
        <v>127</v>
      </c>
      <c r="O414">
        <v>0</v>
      </c>
      <c r="P414">
        <v>3</v>
      </c>
      <c r="Q414">
        <v>0</v>
      </c>
      <c r="R414">
        <v>2</v>
      </c>
      <c r="S414">
        <v>1</v>
      </c>
      <c r="T414">
        <v>0</v>
      </c>
      <c r="U414">
        <v>0</v>
      </c>
      <c r="W414" t="str">
        <f>"17:47:36.406"</f>
        <v>17:47:36.406</v>
      </c>
      <c r="X414" t="str">
        <f>"17:47:36.106"</f>
        <v>17:47:36.106</v>
      </c>
      <c r="Y414" t="str">
        <f t="shared" si="61"/>
        <v>A7C771</v>
      </c>
      <c r="Z414">
        <v>0</v>
      </c>
      <c r="AA414">
        <v>0</v>
      </c>
      <c r="AB414">
        <v>2</v>
      </c>
      <c r="AC414">
        <v>0</v>
      </c>
      <c r="AE414">
        <v>0</v>
      </c>
      <c r="AF414">
        <v>8</v>
      </c>
      <c r="AG414">
        <v>3</v>
      </c>
      <c r="AH414">
        <v>0</v>
      </c>
      <c r="AI414">
        <v>9</v>
      </c>
      <c r="AJ414" t="s">
        <v>125</v>
      </c>
      <c r="AK414">
        <v>0</v>
      </c>
      <c r="AL414">
        <v>3</v>
      </c>
      <c r="AM414">
        <v>2</v>
      </c>
      <c r="AN414">
        <v>1</v>
      </c>
      <c r="AO414" t="s">
        <v>908</v>
      </c>
      <c r="AP414">
        <v>43.069110000000002</v>
      </c>
      <c r="AQ414" t="s">
        <v>909</v>
      </c>
      <c r="AR414">
        <v>-77.564721000000006</v>
      </c>
      <c r="AS414">
        <v>25</v>
      </c>
      <c r="AT414">
        <v>1850</v>
      </c>
      <c r="AU414" t="s">
        <v>123</v>
      </c>
      <c r="AV414">
        <v>4</v>
      </c>
      <c r="AW414">
        <v>159</v>
      </c>
      <c r="AX414">
        <v>-384</v>
      </c>
      <c r="AZ414">
        <f t="shared" si="66"/>
        <v>16</v>
      </c>
      <c r="BA414">
        <f t="shared" si="67"/>
        <v>25281</v>
      </c>
      <c r="BB414" s="1">
        <f t="shared" si="68"/>
        <v>159.05030650709227</v>
      </c>
      <c r="BJ414">
        <v>1404</v>
      </c>
      <c r="BK414">
        <v>1</v>
      </c>
      <c r="BL414" t="str">
        <f t="shared" si="62"/>
        <v xml:space="preserve">N600C   </v>
      </c>
      <c r="BM414">
        <v>2</v>
      </c>
      <c r="BO414">
        <v>0</v>
      </c>
      <c r="BP414">
        <v>0</v>
      </c>
      <c r="BQ414">
        <v>0</v>
      </c>
      <c r="BR414">
        <v>2025</v>
      </c>
      <c r="BS414">
        <v>175</v>
      </c>
      <c r="BT414" t="s">
        <v>128</v>
      </c>
      <c r="BU414">
        <v>0</v>
      </c>
      <c r="BV414">
        <v>0</v>
      </c>
      <c r="BW414">
        <v>0</v>
      </c>
      <c r="BX414">
        <v>1</v>
      </c>
      <c r="CA414">
        <v>0</v>
      </c>
      <c r="CB414">
        <v>0</v>
      </c>
      <c r="CC414">
        <v>0</v>
      </c>
      <c r="CM414" t="str">
        <f>"17:47:36.412"</f>
        <v>17:47:36.412</v>
      </c>
      <c r="CN414">
        <v>412357054</v>
      </c>
      <c r="CQ414">
        <v>0</v>
      </c>
      <c r="CR414">
        <v>2496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3</v>
      </c>
      <c r="DB414">
        <v>2</v>
      </c>
      <c r="DC414">
        <v>0</v>
      </c>
      <c r="DD414">
        <v>2</v>
      </c>
      <c r="DE414">
        <v>0</v>
      </c>
      <c r="DF414">
        <v>7</v>
      </c>
      <c r="DG414">
        <v>7</v>
      </c>
      <c r="DH414" t="s">
        <v>124</v>
      </c>
      <c r="DI414">
        <v>407</v>
      </c>
      <c r="DJ414">
        <v>3</v>
      </c>
      <c r="DK414" t="s">
        <v>132</v>
      </c>
      <c r="DL414" t="s">
        <v>133</v>
      </c>
      <c r="DO414">
        <v>1674806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</row>
    <row r="415" spans="1:131" x14ac:dyDescent="0.35">
      <c r="A415" s="2" t="str">
        <f>"17:47:37.725"</f>
        <v>17:47:37.725</v>
      </c>
      <c r="B415" s="4">
        <f t="shared" si="69"/>
        <v>64057.724999999999</v>
      </c>
      <c r="C415" s="4">
        <f t="shared" si="63"/>
        <v>457.72499999999854</v>
      </c>
      <c r="D415" s="3">
        <f t="shared" si="64"/>
        <v>0.74140885416666669</v>
      </c>
      <c r="E415" s="2">
        <f t="shared" si="65"/>
        <v>0.74140885416666669</v>
      </c>
      <c r="G415" t="str">
        <f t="shared" si="60"/>
        <v>FFDFD7C0</v>
      </c>
      <c r="H415" t="s">
        <v>126</v>
      </c>
      <c r="I415">
        <v>8</v>
      </c>
      <c r="J415">
        <v>1008</v>
      </c>
      <c r="K415" t="s">
        <v>129</v>
      </c>
      <c r="N415" t="s">
        <v>127</v>
      </c>
      <c r="O415">
        <v>0</v>
      </c>
      <c r="P415">
        <v>3</v>
      </c>
      <c r="Q415">
        <v>0</v>
      </c>
      <c r="R415">
        <v>2</v>
      </c>
      <c r="S415">
        <v>1</v>
      </c>
      <c r="T415">
        <v>0</v>
      </c>
      <c r="U415">
        <v>0</v>
      </c>
      <c r="W415" t="str">
        <f>"17:47:37.445"</f>
        <v>17:47:37.445</v>
      </c>
      <c r="X415" t="str">
        <f>"17:47:37.045"</f>
        <v>17:47:37.045</v>
      </c>
      <c r="Y415" t="str">
        <f t="shared" si="61"/>
        <v>A7C771</v>
      </c>
      <c r="Z415">
        <v>0</v>
      </c>
      <c r="AA415">
        <v>0</v>
      </c>
      <c r="AB415">
        <v>2</v>
      </c>
      <c r="AC415">
        <v>0</v>
      </c>
      <c r="AE415">
        <v>0</v>
      </c>
      <c r="AF415">
        <v>8</v>
      </c>
      <c r="AG415">
        <v>3</v>
      </c>
      <c r="AH415">
        <v>0</v>
      </c>
      <c r="AI415">
        <v>9</v>
      </c>
      <c r="AJ415" t="s">
        <v>125</v>
      </c>
      <c r="AK415">
        <v>0</v>
      </c>
      <c r="AL415">
        <v>3</v>
      </c>
      <c r="AM415">
        <v>2</v>
      </c>
      <c r="AN415">
        <v>1</v>
      </c>
      <c r="AO415" t="s">
        <v>910</v>
      </c>
      <c r="AP415">
        <v>43.069861000000003</v>
      </c>
      <c r="AQ415" t="s">
        <v>909</v>
      </c>
      <c r="AR415">
        <v>-77.564721000000006</v>
      </c>
      <c r="AS415">
        <v>25</v>
      </c>
      <c r="AT415">
        <v>1825</v>
      </c>
      <c r="AU415" t="s">
        <v>123</v>
      </c>
      <c r="AV415">
        <v>4</v>
      </c>
      <c r="AW415">
        <v>159</v>
      </c>
      <c r="AX415">
        <v>-320</v>
      </c>
      <c r="AZ415">
        <f t="shared" si="66"/>
        <v>16</v>
      </c>
      <c r="BA415">
        <f t="shared" si="67"/>
        <v>25281</v>
      </c>
      <c r="BB415" s="1">
        <f t="shared" si="68"/>
        <v>159.05030650709227</v>
      </c>
      <c r="BJ415">
        <v>1404</v>
      </c>
      <c r="BK415">
        <v>1</v>
      </c>
      <c r="BL415" t="str">
        <f t="shared" si="62"/>
        <v xml:space="preserve">N600C   </v>
      </c>
      <c r="BM415">
        <v>2</v>
      </c>
      <c r="BO415">
        <v>0</v>
      </c>
      <c r="BP415">
        <v>0</v>
      </c>
      <c r="BQ415">
        <v>0</v>
      </c>
      <c r="BR415">
        <v>2025</v>
      </c>
      <c r="BS415">
        <v>200</v>
      </c>
      <c r="BT415" t="s">
        <v>128</v>
      </c>
      <c r="BU415">
        <v>0</v>
      </c>
      <c r="BV415">
        <v>0</v>
      </c>
      <c r="BW415">
        <v>0</v>
      </c>
      <c r="BX415">
        <v>1</v>
      </c>
      <c r="CA415">
        <v>0</v>
      </c>
      <c r="CB415">
        <v>0</v>
      </c>
      <c r="CC415">
        <v>0</v>
      </c>
      <c r="CM415" t="str">
        <f>"17:47:37.453"</f>
        <v>17:47:37.453</v>
      </c>
      <c r="CN415">
        <v>452552410</v>
      </c>
      <c r="CQ415">
        <v>0</v>
      </c>
      <c r="CR415">
        <v>2496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3</v>
      </c>
      <c r="DB415">
        <v>2</v>
      </c>
      <c r="DC415">
        <v>0</v>
      </c>
      <c r="DD415">
        <v>2</v>
      </c>
      <c r="DE415">
        <v>0</v>
      </c>
      <c r="DF415">
        <v>7</v>
      </c>
      <c r="DG415">
        <v>7</v>
      </c>
      <c r="DH415" t="s">
        <v>124</v>
      </c>
      <c r="DI415">
        <v>71</v>
      </c>
      <c r="DJ415">
        <v>0</v>
      </c>
      <c r="DK415" t="s">
        <v>134</v>
      </c>
      <c r="DL415" t="s">
        <v>135</v>
      </c>
      <c r="DO415">
        <v>10235330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</row>
    <row r="416" spans="1:131" x14ac:dyDescent="0.35">
      <c r="A416" s="2" t="str">
        <f>"17:47:38.710"</f>
        <v>17:47:38.710</v>
      </c>
      <c r="B416" s="4">
        <f t="shared" si="69"/>
        <v>64058.709999999992</v>
      </c>
      <c r="C416" s="4">
        <f t="shared" si="63"/>
        <v>458.70999999999185</v>
      </c>
      <c r="D416" s="3">
        <f t="shared" si="64"/>
        <v>0.74142025462962957</v>
      </c>
      <c r="E416" s="2">
        <f t="shared" si="65"/>
        <v>0.74142025462962957</v>
      </c>
      <c r="G416" t="str">
        <f t="shared" si="60"/>
        <v>FFDFD7C0</v>
      </c>
      <c r="H416" t="s">
        <v>126</v>
      </c>
      <c r="I416">
        <v>8</v>
      </c>
      <c r="J416">
        <v>1008</v>
      </c>
      <c r="K416" t="s">
        <v>129</v>
      </c>
      <c r="N416" t="s">
        <v>127</v>
      </c>
      <c r="O416">
        <v>0</v>
      </c>
      <c r="P416">
        <v>3</v>
      </c>
      <c r="Q416">
        <v>0</v>
      </c>
      <c r="R416">
        <v>2</v>
      </c>
      <c r="S416">
        <v>1</v>
      </c>
      <c r="T416">
        <v>0</v>
      </c>
      <c r="U416">
        <v>0</v>
      </c>
      <c r="W416" t="str">
        <f>"17:47:38.391"</f>
        <v>17:47:38.391</v>
      </c>
      <c r="X416" t="str">
        <f>"17:47:38.091"</f>
        <v>17:47:38.091</v>
      </c>
      <c r="Y416" t="str">
        <f t="shared" si="61"/>
        <v>A7C771</v>
      </c>
      <c r="Z416">
        <v>0</v>
      </c>
      <c r="AA416">
        <v>0</v>
      </c>
      <c r="AB416">
        <v>2</v>
      </c>
      <c r="AC416">
        <v>0</v>
      </c>
      <c r="AE416">
        <v>0</v>
      </c>
      <c r="AF416">
        <v>8</v>
      </c>
      <c r="AG416">
        <v>3</v>
      </c>
      <c r="AH416">
        <v>0</v>
      </c>
      <c r="AI416">
        <v>9</v>
      </c>
      <c r="AJ416" t="s">
        <v>125</v>
      </c>
      <c r="AK416">
        <v>0</v>
      </c>
      <c r="AL416">
        <v>3</v>
      </c>
      <c r="AM416">
        <v>2</v>
      </c>
      <c r="AN416">
        <v>1</v>
      </c>
      <c r="AO416" t="s">
        <v>912</v>
      </c>
      <c r="AP416">
        <v>43.070590000000003</v>
      </c>
      <c r="AQ416" t="s">
        <v>909</v>
      </c>
      <c r="AR416">
        <v>-77.564721000000006</v>
      </c>
      <c r="AS416">
        <v>25</v>
      </c>
      <c r="AT416">
        <v>1825</v>
      </c>
      <c r="AU416" t="s">
        <v>123</v>
      </c>
      <c r="AV416">
        <v>3</v>
      </c>
      <c r="AW416">
        <v>158</v>
      </c>
      <c r="AX416">
        <v>-448</v>
      </c>
      <c r="AZ416">
        <f t="shared" si="66"/>
        <v>9</v>
      </c>
      <c r="BA416">
        <f t="shared" si="67"/>
        <v>24964</v>
      </c>
      <c r="BB416" s="1">
        <f t="shared" si="68"/>
        <v>158.02847844613325</v>
      </c>
      <c r="BJ416">
        <v>1404</v>
      </c>
      <c r="BK416">
        <v>1</v>
      </c>
      <c r="BL416" t="str">
        <f t="shared" si="62"/>
        <v xml:space="preserve">N600C   </v>
      </c>
      <c r="BM416">
        <v>2</v>
      </c>
      <c r="BO416">
        <v>0</v>
      </c>
      <c r="BP416">
        <v>0</v>
      </c>
      <c r="BQ416">
        <v>0</v>
      </c>
      <c r="BR416">
        <v>2000</v>
      </c>
      <c r="BS416">
        <v>175</v>
      </c>
      <c r="BT416" t="s">
        <v>128</v>
      </c>
      <c r="BU416">
        <v>0</v>
      </c>
      <c r="BV416">
        <v>0</v>
      </c>
      <c r="BW416">
        <v>0</v>
      </c>
      <c r="BX416">
        <v>1</v>
      </c>
      <c r="CA416">
        <v>0</v>
      </c>
      <c r="CB416">
        <v>0</v>
      </c>
      <c r="CC416">
        <v>0</v>
      </c>
      <c r="CM416" t="str">
        <f>"17:47:38.397"</f>
        <v>17:47:38.397</v>
      </c>
      <c r="CN416">
        <v>396771957</v>
      </c>
      <c r="CQ416">
        <v>0</v>
      </c>
      <c r="CR416">
        <v>2496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3</v>
      </c>
      <c r="DB416">
        <v>2</v>
      </c>
      <c r="DC416">
        <v>0</v>
      </c>
      <c r="DD416">
        <v>2</v>
      </c>
      <c r="DE416">
        <v>0</v>
      </c>
      <c r="DF416">
        <v>7</v>
      </c>
      <c r="DG416">
        <v>7</v>
      </c>
      <c r="DH416" t="s">
        <v>124</v>
      </c>
      <c r="DI416">
        <v>71</v>
      </c>
      <c r="DJ416">
        <v>1</v>
      </c>
      <c r="DK416" t="s">
        <v>134</v>
      </c>
      <c r="DL416" t="s">
        <v>135</v>
      </c>
      <c r="DO416">
        <v>11598557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</row>
    <row r="417" spans="1:131" x14ac:dyDescent="0.35">
      <c r="A417" s="2" t="str">
        <f>"17:47:39.804"</f>
        <v>17:47:39.804</v>
      </c>
      <c r="B417" s="4">
        <f t="shared" si="69"/>
        <v>64059.803999999996</v>
      </c>
      <c r="C417" s="4">
        <f t="shared" si="63"/>
        <v>459.80399999999645</v>
      </c>
      <c r="D417" s="3">
        <f t="shared" si="64"/>
        <v>0.74143291666666666</v>
      </c>
      <c r="E417" s="2">
        <f t="shared" si="65"/>
        <v>0.74143291666666666</v>
      </c>
      <c r="G417" t="str">
        <f t="shared" si="60"/>
        <v>FFDFD7C0</v>
      </c>
      <c r="H417" t="s">
        <v>126</v>
      </c>
      <c r="I417">
        <v>8</v>
      </c>
      <c r="J417">
        <v>1008</v>
      </c>
      <c r="K417" t="s">
        <v>129</v>
      </c>
      <c r="N417" t="s">
        <v>127</v>
      </c>
      <c r="O417">
        <v>0</v>
      </c>
      <c r="P417">
        <v>3</v>
      </c>
      <c r="Q417">
        <v>0</v>
      </c>
      <c r="R417">
        <v>2</v>
      </c>
      <c r="S417">
        <v>1</v>
      </c>
      <c r="T417">
        <v>0</v>
      </c>
      <c r="U417">
        <v>0</v>
      </c>
      <c r="W417" t="str">
        <f>"17:47:39.523"</f>
        <v>17:47:39.523</v>
      </c>
      <c r="X417" t="str">
        <f>"17:47:39.523"</f>
        <v>17:47:39.523</v>
      </c>
      <c r="Y417" t="str">
        <f t="shared" si="61"/>
        <v>A7C771</v>
      </c>
      <c r="Z417">
        <v>0</v>
      </c>
      <c r="AA417">
        <v>0</v>
      </c>
      <c r="AB417">
        <v>2</v>
      </c>
      <c r="AC417">
        <v>0</v>
      </c>
      <c r="AE417">
        <v>0</v>
      </c>
      <c r="AF417">
        <v>8</v>
      </c>
      <c r="AG417">
        <v>3</v>
      </c>
      <c r="AH417">
        <v>0</v>
      </c>
      <c r="AI417">
        <v>9</v>
      </c>
      <c r="AJ417" t="s">
        <v>125</v>
      </c>
      <c r="AK417">
        <v>0</v>
      </c>
      <c r="AL417">
        <v>3</v>
      </c>
      <c r="AM417">
        <v>2</v>
      </c>
      <c r="AN417">
        <v>1</v>
      </c>
      <c r="AO417" t="s">
        <v>913</v>
      </c>
      <c r="AP417">
        <v>43.071406000000003</v>
      </c>
      <c r="AQ417" t="s">
        <v>911</v>
      </c>
      <c r="AR417">
        <v>-77.564700000000002</v>
      </c>
      <c r="AS417">
        <v>25</v>
      </c>
      <c r="AT417">
        <v>1825</v>
      </c>
      <c r="AU417" t="s">
        <v>123</v>
      </c>
      <c r="AV417">
        <v>4</v>
      </c>
      <c r="AW417">
        <v>157</v>
      </c>
      <c r="AX417">
        <v>-448</v>
      </c>
      <c r="AZ417">
        <f t="shared" si="66"/>
        <v>16</v>
      </c>
      <c r="BA417">
        <f t="shared" si="67"/>
        <v>24649</v>
      </c>
      <c r="BB417" s="1">
        <f t="shared" si="68"/>
        <v>157.05094714773293</v>
      </c>
      <c r="BJ417">
        <v>1404</v>
      </c>
      <c r="BK417">
        <v>1</v>
      </c>
      <c r="BL417" t="str">
        <f t="shared" si="62"/>
        <v xml:space="preserve">N600C   </v>
      </c>
      <c r="BM417">
        <v>2</v>
      </c>
      <c r="BO417">
        <v>0</v>
      </c>
      <c r="BP417">
        <v>0</v>
      </c>
      <c r="BQ417">
        <v>0</v>
      </c>
      <c r="BR417">
        <v>2000</v>
      </c>
      <c r="BS417">
        <v>175</v>
      </c>
      <c r="BT417" t="s">
        <v>128</v>
      </c>
      <c r="BU417">
        <v>0</v>
      </c>
      <c r="BV417">
        <v>0</v>
      </c>
      <c r="BW417">
        <v>0</v>
      </c>
      <c r="BX417">
        <v>1</v>
      </c>
      <c r="CA417">
        <v>0</v>
      </c>
      <c r="CB417">
        <v>0</v>
      </c>
      <c r="CC417">
        <v>0</v>
      </c>
      <c r="CM417" t="str">
        <f>"17:47:39.525"</f>
        <v>17:47:39.525</v>
      </c>
      <c r="CN417">
        <v>524927319</v>
      </c>
      <c r="CQ417">
        <v>0</v>
      </c>
      <c r="CR417">
        <v>2496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3</v>
      </c>
      <c r="DB417">
        <v>2</v>
      </c>
      <c r="DC417">
        <v>0</v>
      </c>
      <c r="DD417">
        <v>2</v>
      </c>
      <c r="DE417">
        <v>0</v>
      </c>
      <c r="DF417">
        <v>7</v>
      </c>
      <c r="DG417">
        <v>7</v>
      </c>
      <c r="DH417" t="s">
        <v>124</v>
      </c>
      <c r="DI417">
        <v>71</v>
      </c>
      <c r="DJ417">
        <v>1</v>
      </c>
      <c r="DK417" t="s">
        <v>134</v>
      </c>
      <c r="DL417" t="s">
        <v>135</v>
      </c>
      <c r="DO417">
        <v>11599387</v>
      </c>
      <c r="DQ417">
        <v>0</v>
      </c>
      <c r="DR417">
        <v>0</v>
      </c>
      <c r="DS417">
        <v>1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</row>
    <row r="418" spans="1:131" x14ac:dyDescent="0.35">
      <c r="A418" s="2" t="str">
        <f>"17:47:40.680"</f>
        <v>17:47:40.680</v>
      </c>
      <c r="B418" s="4">
        <f t="shared" si="69"/>
        <v>64060.68</v>
      </c>
      <c r="C418" s="4">
        <f t="shared" si="63"/>
        <v>460.68000000000029</v>
      </c>
      <c r="D418" s="3">
        <f t="shared" si="64"/>
        <v>0.74144305555555556</v>
      </c>
      <c r="E418" s="2">
        <f t="shared" si="65"/>
        <v>0.74144305555555556</v>
      </c>
      <c r="G418" t="str">
        <f t="shared" si="60"/>
        <v>FFDFD7C0</v>
      </c>
      <c r="H418" t="s">
        <v>126</v>
      </c>
      <c r="I418">
        <v>8</v>
      </c>
      <c r="J418">
        <v>1008</v>
      </c>
      <c r="K418" t="s">
        <v>129</v>
      </c>
      <c r="N418" t="s">
        <v>127</v>
      </c>
      <c r="O418">
        <v>0</v>
      </c>
      <c r="P418">
        <v>3</v>
      </c>
      <c r="Q418">
        <v>0</v>
      </c>
      <c r="R418">
        <v>2</v>
      </c>
      <c r="S418">
        <v>1</v>
      </c>
      <c r="T418">
        <v>0</v>
      </c>
      <c r="U418">
        <v>0</v>
      </c>
      <c r="W418" t="str">
        <f>"17:47:40.422"</f>
        <v>17:47:40.422</v>
      </c>
      <c r="X418" t="str">
        <f>"17:47:40.022"</f>
        <v>17:47:40.022</v>
      </c>
      <c r="Y418" t="str">
        <f t="shared" si="61"/>
        <v>A7C771</v>
      </c>
      <c r="Z418">
        <v>0</v>
      </c>
      <c r="AA418">
        <v>0</v>
      </c>
      <c r="AB418">
        <v>2</v>
      </c>
      <c r="AC418">
        <v>0</v>
      </c>
      <c r="AE418">
        <v>0</v>
      </c>
      <c r="AF418">
        <v>8</v>
      </c>
      <c r="AG418">
        <v>3</v>
      </c>
      <c r="AH418">
        <v>0</v>
      </c>
      <c r="AI418">
        <v>9</v>
      </c>
      <c r="AJ418" t="s">
        <v>125</v>
      </c>
      <c r="AK418">
        <v>0</v>
      </c>
      <c r="AL418">
        <v>3</v>
      </c>
      <c r="AM418">
        <v>2</v>
      </c>
      <c r="AN418">
        <v>1</v>
      </c>
      <c r="AO418" t="s">
        <v>914</v>
      </c>
      <c r="AP418">
        <v>43.072049999999997</v>
      </c>
      <c r="AQ418" t="s">
        <v>915</v>
      </c>
      <c r="AR418">
        <v>-77.564656999999997</v>
      </c>
      <c r="AS418">
        <v>25</v>
      </c>
      <c r="AT418">
        <v>1825</v>
      </c>
      <c r="AU418" t="s">
        <v>123</v>
      </c>
      <c r="AV418">
        <v>4</v>
      </c>
      <c r="AW418">
        <v>157</v>
      </c>
      <c r="AX418">
        <v>-448</v>
      </c>
      <c r="AZ418">
        <f t="shared" si="66"/>
        <v>16</v>
      </c>
      <c r="BA418">
        <f t="shared" si="67"/>
        <v>24649</v>
      </c>
      <c r="BB418" s="1">
        <f t="shared" si="68"/>
        <v>157.05094714773293</v>
      </c>
      <c r="BJ418">
        <v>1404</v>
      </c>
      <c r="BK418">
        <v>1</v>
      </c>
      <c r="BL418" t="str">
        <f t="shared" si="62"/>
        <v xml:space="preserve">N600C   </v>
      </c>
      <c r="BM418">
        <v>2</v>
      </c>
      <c r="BO418">
        <v>0</v>
      </c>
      <c r="BP418">
        <v>0</v>
      </c>
      <c r="BQ418">
        <v>0</v>
      </c>
      <c r="BR418">
        <v>2000</v>
      </c>
      <c r="BS418">
        <v>175</v>
      </c>
      <c r="BT418" t="s">
        <v>128</v>
      </c>
      <c r="BU418">
        <v>0</v>
      </c>
      <c r="BV418">
        <v>0</v>
      </c>
      <c r="BW418">
        <v>0</v>
      </c>
      <c r="BX418">
        <v>1</v>
      </c>
      <c r="CA418">
        <v>0</v>
      </c>
      <c r="CB418">
        <v>0</v>
      </c>
      <c r="CC418">
        <v>0</v>
      </c>
      <c r="CM418" t="str">
        <f>"17:47:40.429"</f>
        <v>17:47:40.429</v>
      </c>
      <c r="CN418">
        <v>429093313</v>
      </c>
      <c r="CQ418">
        <v>0</v>
      </c>
      <c r="CR418">
        <v>2496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3</v>
      </c>
      <c r="DB418">
        <v>2</v>
      </c>
      <c r="DC418">
        <v>0</v>
      </c>
      <c r="DD418">
        <v>2</v>
      </c>
      <c r="DE418">
        <v>0</v>
      </c>
      <c r="DF418">
        <v>7</v>
      </c>
      <c r="DG418">
        <v>7</v>
      </c>
      <c r="DH418" t="s">
        <v>124</v>
      </c>
      <c r="DI418">
        <v>71</v>
      </c>
      <c r="DJ418">
        <v>0</v>
      </c>
      <c r="DK418" t="s">
        <v>134</v>
      </c>
      <c r="DL418" t="s">
        <v>135</v>
      </c>
      <c r="DO418">
        <v>10237359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</row>
    <row r="419" spans="1:131" x14ac:dyDescent="0.35">
      <c r="A419" s="2" t="str">
        <f>"17:47:41.555"</f>
        <v>17:47:41.555</v>
      </c>
      <c r="B419" s="4">
        <f t="shared" si="69"/>
        <v>64061.554999999993</v>
      </c>
      <c r="C419" s="4">
        <f t="shared" si="63"/>
        <v>461.55499999999302</v>
      </c>
      <c r="D419" s="3">
        <f t="shared" si="64"/>
        <v>0.74145318287037032</v>
      </c>
      <c r="E419" s="2">
        <f t="shared" si="65"/>
        <v>0.74145318287037032</v>
      </c>
      <c r="G419" t="str">
        <f t="shared" si="60"/>
        <v>FFDFD7C0</v>
      </c>
      <c r="H419" t="s">
        <v>126</v>
      </c>
      <c r="I419">
        <v>8</v>
      </c>
      <c r="J419">
        <v>1008</v>
      </c>
      <c r="K419" t="s">
        <v>129</v>
      </c>
      <c r="N419" t="s">
        <v>127</v>
      </c>
      <c r="O419">
        <v>0</v>
      </c>
      <c r="P419">
        <v>3</v>
      </c>
      <c r="Q419">
        <v>0</v>
      </c>
      <c r="R419">
        <v>2</v>
      </c>
      <c r="S419">
        <v>1</v>
      </c>
      <c r="T419">
        <v>0</v>
      </c>
      <c r="U419">
        <v>0</v>
      </c>
      <c r="W419" t="str">
        <f>"17:47:41.359"</f>
        <v>17:47:41.359</v>
      </c>
      <c r="X419" t="str">
        <f>"17:47:40.959"</f>
        <v>17:47:40.959</v>
      </c>
      <c r="Y419" t="str">
        <f t="shared" si="61"/>
        <v>A7C771</v>
      </c>
      <c r="Z419">
        <v>0</v>
      </c>
      <c r="AA419">
        <v>0</v>
      </c>
      <c r="AB419">
        <v>2</v>
      </c>
      <c r="AC419">
        <v>0</v>
      </c>
      <c r="AE419">
        <v>0</v>
      </c>
      <c r="AF419">
        <v>8</v>
      </c>
      <c r="AG419">
        <v>3</v>
      </c>
      <c r="AH419">
        <v>0</v>
      </c>
      <c r="AI419">
        <v>9</v>
      </c>
      <c r="AJ419" t="s">
        <v>125</v>
      </c>
      <c r="AK419">
        <v>0</v>
      </c>
      <c r="AL419">
        <v>3</v>
      </c>
      <c r="AM419">
        <v>2</v>
      </c>
      <c r="AN419">
        <v>1</v>
      </c>
      <c r="AO419" t="s">
        <v>916</v>
      </c>
      <c r="AP419">
        <v>43.072671999999997</v>
      </c>
      <c r="AQ419" t="s">
        <v>917</v>
      </c>
      <c r="AR419">
        <v>-77.564634999999996</v>
      </c>
      <c r="AS419">
        <v>25</v>
      </c>
      <c r="AT419">
        <v>1800</v>
      </c>
      <c r="AU419" t="s">
        <v>123</v>
      </c>
      <c r="AV419">
        <v>3</v>
      </c>
      <c r="AW419">
        <v>157</v>
      </c>
      <c r="AX419">
        <v>-384</v>
      </c>
      <c r="AZ419">
        <f t="shared" si="66"/>
        <v>9</v>
      </c>
      <c r="BA419">
        <f t="shared" si="67"/>
        <v>24649</v>
      </c>
      <c r="BB419" s="1">
        <f t="shared" si="68"/>
        <v>157.02865980450829</v>
      </c>
      <c r="BJ419">
        <v>1404</v>
      </c>
      <c r="BK419">
        <v>1</v>
      </c>
      <c r="BL419" t="str">
        <f t="shared" si="62"/>
        <v xml:space="preserve">N600C   </v>
      </c>
      <c r="BM419">
        <v>2</v>
      </c>
      <c r="BO419">
        <v>0</v>
      </c>
      <c r="BP419">
        <v>0</v>
      </c>
      <c r="BQ419">
        <v>0</v>
      </c>
      <c r="BR419">
        <v>1975</v>
      </c>
      <c r="BS419">
        <v>175</v>
      </c>
      <c r="BT419" t="s">
        <v>128</v>
      </c>
      <c r="BU419">
        <v>0</v>
      </c>
      <c r="BV419">
        <v>0</v>
      </c>
      <c r="BW419">
        <v>0</v>
      </c>
      <c r="BX419">
        <v>1</v>
      </c>
      <c r="CA419">
        <v>0</v>
      </c>
      <c r="CB419">
        <v>0</v>
      </c>
      <c r="CC419">
        <v>0</v>
      </c>
      <c r="CM419" t="str">
        <f>"17:47:41.365"</f>
        <v>17:47:41.365</v>
      </c>
      <c r="CN419">
        <v>365256388</v>
      </c>
      <c r="CQ419">
        <v>0</v>
      </c>
      <c r="CR419">
        <v>2496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3</v>
      </c>
      <c r="DB419">
        <v>2</v>
      </c>
      <c r="DC419">
        <v>0</v>
      </c>
      <c r="DD419">
        <v>2</v>
      </c>
      <c r="DE419">
        <v>0</v>
      </c>
      <c r="DF419">
        <v>7</v>
      </c>
      <c r="DG419">
        <v>7</v>
      </c>
      <c r="DH419" t="s">
        <v>124</v>
      </c>
      <c r="DI419">
        <v>71</v>
      </c>
      <c r="DJ419">
        <v>0</v>
      </c>
      <c r="DK419" t="s">
        <v>134</v>
      </c>
      <c r="DL419" t="s">
        <v>135</v>
      </c>
      <c r="DO419">
        <v>10238110</v>
      </c>
      <c r="DQ419">
        <v>0</v>
      </c>
      <c r="DR419">
        <v>0</v>
      </c>
      <c r="DS419">
        <v>1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</row>
    <row r="420" spans="1:131" x14ac:dyDescent="0.35">
      <c r="A420" s="2" t="str">
        <f>"17:47:42.742"</f>
        <v>17:47:42.742</v>
      </c>
      <c r="B420" s="4">
        <f t="shared" si="69"/>
        <v>64062.742000000006</v>
      </c>
      <c r="C420" s="4">
        <f t="shared" si="63"/>
        <v>462.74200000000565</v>
      </c>
      <c r="D420" s="3">
        <f t="shared" si="64"/>
        <v>0.74146692129629632</v>
      </c>
      <c r="E420" s="2">
        <f t="shared" si="65"/>
        <v>0.74146692129629632</v>
      </c>
      <c r="G420" t="str">
        <f t="shared" si="60"/>
        <v>FFDFD7C0</v>
      </c>
      <c r="H420" t="s">
        <v>126</v>
      </c>
      <c r="I420">
        <v>8</v>
      </c>
      <c r="J420">
        <v>1008</v>
      </c>
      <c r="K420" t="s">
        <v>129</v>
      </c>
      <c r="N420" t="s">
        <v>127</v>
      </c>
      <c r="O420">
        <v>0</v>
      </c>
      <c r="P420">
        <v>3</v>
      </c>
      <c r="Q420">
        <v>0</v>
      </c>
      <c r="R420">
        <v>2</v>
      </c>
      <c r="S420">
        <v>1</v>
      </c>
      <c r="T420">
        <v>0</v>
      </c>
      <c r="U420">
        <v>0</v>
      </c>
      <c r="W420" t="str">
        <f>"17:47:42.383"</f>
        <v>17:47:42.383</v>
      </c>
      <c r="X420" t="str">
        <f>"17:47:42.383"</f>
        <v>17:47:42.383</v>
      </c>
      <c r="Y420" t="str">
        <f t="shared" si="61"/>
        <v>A7C771</v>
      </c>
      <c r="Z420">
        <v>0</v>
      </c>
      <c r="AA420">
        <v>0</v>
      </c>
      <c r="AB420">
        <v>2</v>
      </c>
      <c r="AC420">
        <v>0</v>
      </c>
      <c r="AE420">
        <v>0</v>
      </c>
      <c r="AF420">
        <v>8</v>
      </c>
      <c r="AG420">
        <v>3</v>
      </c>
      <c r="AH420">
        <v>0</v>
      </c>
      <c r="AI420">
        <v>9</v>
      </c>
      <c r="AJ420" t="s">
        <v>125</v>
      </c>
      <c r="AK420">
        <v>0</v>
      </c>
      <c r="AL420">
        <v>3</v>
      </c>
      <c r="AM420">
        <v>2</v>
      </c>
      <c r="AN420">
        <v>1</v>
      </c>
      <c r="AO420" t="s">
        <v>918</v>
      </c>
      <c r="AP420">
        <v>43.073487</v>
      </c>
      <c r="AQ420" t="s">
        <v>915</v>
      </c>
      <c r="AR420">
        <v>-77.564656999999997</v>
      </c>
      <c r="AS420">
        <v>25</v>
      </c>
      <c r="AT420">
        <v>1800</v>
      </c>
      <c r="AU420" t="s">
        <v>123</v>
      </c>
      <c r="AV420">
        <v>1</v>
      </c>
      <c r="AW420">
        <v>157</v>
      </c>
      <c r="AX420">
        <v>-512</v>
      </c>
      <c r="AZ420">
        <f t="shared" si="66"/>
        <v>1</v>
      </c>
      <c r="BA420">
        <f t="shared" si="67"/>
        <v>24649</v>
      </c>
      <c r="BB420" s="1">
        <f t="shared" si="68"/>
        <v>157.00318468107582</v>
      </c>
      <c r="BJ420">
        <v>1404</v>
      </c>
      <c r="BK420">
        <v>1</v>
      </c>
      <c r="BL420" t="str">
        <f t="shared" si="62"/>
        <v xml:space="preserve">N600C   </v>
      </c>
      <c r="BM420">
        <v>2</v>
      </c>
      <c r="BO420">
        <v>0</v>
      </c>
      <c r="BP420">
        <v>0</v>
      </c>
      <c r="BQ420">
        <v>0</v>
      </c>
      <c r="BR420">
        <v>1975</v>
      </c>
      <c r="BS420">
        <v>175</v>
      </c>
      <c r="BT420" t="s">
        <v>128</v>
      </c>
      <c r="BU420">
        <v>0</v>
      </c>
      <c r="BV420">
        <v>0</v>
      </c>
      <c r="BW420">
        <v>0</v>
      </c>
      <c r="BX420">
        <v>1</v>
      </c>
      <c r="CA420">
        <v>0</v>
      </c>
      <c r="CB420">
        <v>0</v>
      </c>
      <c r="CC420">
        <v>0</v>
      </c>
      <c r="CM420" t="str">
        <f>"17:47:42.389"</f>
        <v>17:47:42.389</v>
      </c>
      <c r="CN420">
        <v>389436429</v>
      </c>
      <c r="CQ420">
        <v>0</v>
      </c>
      <c r="CR420">
        <v>2496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3</v>
      </c>
      <c r="DB420">
        <v>2</v>
      </c>
      <c r="DC420">
        <v>0</v>
      </c>
      <c r="DD420">
        <v>2</v>
      </c>
      <c r="DE420">
        <v>0</v>
      </c>
      <c r="DF420">
        <v>7</v>
      </c>
      <c r="DG420">
        <v>7</v>
      </c>
      <c r="DH420" t="s">
        <v>124</v>
      </c>
      <c r="DI420">
        <v>407</v>
      </c>
      <c r="DJ420">
        <v>3</v>
      </c>
      <c r="DK420" t="s">
        <v>132</v>
      </c>
      <c r="DL420" t="s">
        <v>133</v>
      </c>
      <c r="DO420">
        <v>1680955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</row>
    <row r="421" spans="1:131" x14ac:dyDescent="0.35">
      <c r="A421" s="2" t="str">
        <f>"17:47:43.789"</f>
        <v>17:47:43.789</v>
      </c>
      <c r="B421" s="4">
        <f t="shared" si="69"/>
        <v>64063.788999999997</v>
      </c>
      <c r="C421" s="4">
        <f t="shared" si="63"/>
        <v>463.78899999999703</v>
      </c>
      <c r="D421" s="3">
        <f t="shared" si="64"/>
        <v>0.74147903935185178</v>
      </c>
      <c r="E421" s="2">
        <f t="shared" si="65"/>
        <v>0.74147903935185178</v>
      </c>
      <c r="G421" t="str">
        <f t="shared" si="60"/>
        <v>FFDFD7C0</v>
      </c>
      <c r="H421" t="s">
        <v>126</v>
      </c>
      <c r="I421">
        <v>8</v>
      </c>
      <c r="J421">
        <v>1008</v>
      </c>
      <c r="K421" t="s">
        <v>129</v>
      </c>
      <c r="N421" t="s">
        <v>127</v>
      </c>
      <c r="O421">
        <v>0</v>
      </c>
      <c r="P421">
        <v>3</v>
      </c>
      <c r="Q421">
        <v>0</v>
      </c>
      <c r="R421">
        <v>2</v>
      </c>
      <c r="S421">
        <v>1</v>
      </c>
      <c r="T421">
        <v>0</v>
      </c>
      <c r="U421">
        <v>0</v>
      </c>
      <c r="W421" t="str">
        <f>"17:47:43.469"</f>
        <v>17:47:43.469</v>
      </c>
      <c r="X421" t="str">
        <f>"17:47:43.469"</f>
        <v>17:47:43.469</v>
      </c>
      <c r="Y421" t="str">
        <f t="shared" si="61"/>
        <v>A7C771</v>
      </c>
      <c r="Z421">
        <v>0</v>
      </c>
      <c r="AA421">
        <v>0</v>
      </c>
      <c r="AB421">
        <v>2</v>
      </c>
      <c r="AC421">
        <v>0</v>
      </c>
      <c r="AE421">
        <v>0</v>
      </c>
      <c r="AF421">
        <v>8</v>
      </c>
      <c r="AG421">
        <v>3</v>
      </c>
      <c r="AH421">
        <v>0</v>
      </c>
      <c r="AI421">
        <v>9</v>
      </c>
      <c r="AJ421" t="s">
        <v>125</v>
      </c>
      <c r="AK421">
        <v>0</v>
      </c>
      <c r="AL421">
        <v>3</v>
      </c>
      <c r="AM421">
        <v>2</v>
      </c>
      <c r="AN421">
        <v>1</v>
      </c>
      <c r="AO421" t="s">
        <v>919</v>
      </c>
      <c r="AP421">
        <v>43.074216999999997</v>
      </c>
      <c r="AQ421" t="s">
        <v>915</v>
      </c>
      <c r="AR421">
        <v>-77.564656999999997</v>
      </c>
      <c r="AS421">
        <v>25</v>
      </c>
      <c r="AT421">
        <v>1775</v>
      </c>
      <c r="AU421" t="s">
        <v>123</v>
      </c>
      <c r="AV421">
        <v>1</v>
      </c>
      <c r="AW421">
        <v>157</v>
      </c>
      <c r="AX421">
        <v>-704</v>
      </c>
      <c r="AZ421">
        <f t="shared" si="66"/>
        <v>1</v>
      </c>
      <c r="BA421">
        <f t="shared" si="67"/>
        <v>24649</v>
      </c>
      <c r="BB421" s="1">
        <f t="shared" si="68"/>
        <v>157.00318468107582</v>
      </c>
      <c r="BJ421">
        <v>1404</v>
      </c>
      <c r="BK421">
        <v>1</v>
      </c>
      <c r="BL421" t="str">
        <f t="shared" si="62"/>
        <v xml:space="preserve">N600C   </v>
      </c>
      <c r="BM421">
        <v>2</v>
      </c>
      <c r="BO421">
        <v>0</v>
      </c>
      <c r="BP421">
        <v>0</v>
      </c>
      <c r="BQ421">
        <v>0</v>
      </c>
      <c r="BR421">
        <v>1975</v>
      </c>
      <c r="BS421">
        <v>200</v>
      </c>
      <c r="BT421" t="s">
        <v>128</v>
      </c>
      <c r="BU421">
        <v>0</v>
      </c>
      <c r="BV421">
        <v>0</v>
      </c>
      <c r="BW421">
        <v>0</v>
      </c>
      <c r="BX421">
        <v>1</v>
      </c>
      <c r="CA421">
        <v>0</v>
      </c>
      <c r="CB421">
        <v>0</v>
      </c>
      <c r="CC421">
        <v>0</v>
      </c>
      <c r="CM421" t="str">
        <f>"17:47:43.470"</f>
        <v>17:47:43.470</v>
      </c>
      <c r="CN421">
        <v>469648598</v>
      </c>
      <c r="CQ421">
        <v>0</v>
      </c>
      <c r="CR421">
        <v>2496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3</v>
      </c>
      <c r="DB421">
        <v>2</v>
      </c>
      <c r="DC421">
        <v>0</v>
      </c>
      <c r="DD421">
        <v>2</v>
      </c>
      <c r="DE421">
        <v>0</v>
      </c>
      <c r="DF421">
        <v>7</v>
      </c>
      <c r="DG421">
        <v>7</v>
      </c>
      <c r="DH421" t="s">
        <v>124</v>
      </c>
      <c r="DI421">
        <v>71</v>
      </c>
      <c r="DJ421">
        <v>1</v>
      </c>
      <c r="DK421" t="s">
        <v>134</v>
      </c>
      <c r="DL421" t="s">
        <v>135</v>
      </c>
      <c r="DO421">
        <v>11602795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</row>
    <row r="422" spans="1:131" x14ac:dyDescent="0.35">
      <c r="A422" s="2" t="str">
        <f>"17:47:44.726"</f>
        <v>17:47:44.726</v>
      </c>
      <c r="B422" s="4">
        <f t="shared" si="69"/>
        <v>64064.726000000002</v>
      </c>
      <c r="C422" s="4">
        <f t="shared" si="63"/>
        <v>464.72600000000239</v>
      </c>
      <c r="D422" s="3">
        <f t="shared" si="64"/>
        <v>0.74148988425925932</v>
      </c>
      <c r="E422" s="2">
        <f t="shared" si="65"/>
        <v>0.74148988425925932</v>
      </c>
      <c r="G422" t="str">
        <f t="shared" si="60"/>
        <v>FFDFD7C0</v>
      </c>
      <c r="H422" t="s">
        <v>126</v>
      </c>
      <c r="I422">
        <v>8</v>
      </c>
      <c r="J422">
        <v>1008</v>
      </c>
      <c r="K422" t="s">
        <v>129</v>
      </c>
      <c r="N422" t="s">
        <v>127</v>
      </c>
      <c r="O422">
        <v>0</v>
      </c>
      <c r="P422">
        <v>3</v>
      </c>
      <c r="Q422">
        <v>0</v>
      </c>
      <c r="R422">
        <v>2</v>
      </c>
      <c r="S422">
        <v>1</v>
      </c>
      <c r="T422">
        <v>0</v>
      </c>
      <c r="U422">
        <v>0</v>
      </c>
      <c r="W422" t="str">
        <f>"17:47:44.344"</f>
        <v>17:47:44.344</v>
      </c>
      <c r="X422" t="str">
        <f>"17:47:43.944"</f>
        <v>17:47:43.944</v>
      </c>
      <c r="Y422" t="str">
        <f t="shared" si="61"/>
        <v>A7C771</v>
      </c>
      <c r="Z422">
        <v>0</v>
      </c>
      <c r="AA422">
        <v>0</v>
      </c>
      <c r="AB422">
        <v>2</v>
      </c>
      <c r="AC422">
        <v>0</v>
      </c>
      <c r="AE422">
        <v>0</v>
      </c>
      <c r="AF422">
        <v>8</v>
      </c>
      <c r="AG422">
        <v>3</v>
      </c>
      <c r="AH422">
        <v>0</v>
      </c>
      <c r="AI422">
        <v>9</v>
      </c>
      <c r="AJ422" t="s">
        <v>125</v>
      </c>
      <c r="AK422">
        <v>0</v>
      </c>
      <c r="AL422">
        <v>3</v>
      </c>
      <c r="AM422">
        <v>2</v>
      </c>
      <c r="AN422">
        <v>1</v>
      </c>
      <c r="AO422" t="s">
        <v>920</v>
      </c>
      <c r="AP422">
        <v>43.074882000000002</v>
      </c>
      <c r="AQ422" t="s">
        <v>917</v>
      </c>
      <c r="AR422">
        <v>-77.564634999999996</v>
      </c>
      <c r="AS422">
        <v>25</v>
      </c>
      <c r="AT422">
        <v>1775</v>
      </c>
      <c r="AU422" t="s">
        <v>123</v>
      </c>
      <c r="AV422">
        <v>1</v>
      </c>
      <c r="AW422">
        <v>157</v>
      </c>
      <c r="AX422">
        <v>-704</v>
      </c>
      <c r="AZ422">
        <f t="shared" si="66"/>
        <v>1</v>
      </c>
      <c r="BA422">
        <f t="shared" si="67"/>
        <v>24649</v>
      </c>
      <c r="BB422" s="1">
        <f t="shared" si="68"/>
        <v>157.00318468107582</v>
      </c>
      <c r="BJ422">
        <v>1404</v>
      </c>
      <c r="BK422">
        <v>1</v>
      </c>
      <c r="BL422" t="str">
        <f t="shared" si="62"/>
        <v xml:space="preserve">N600C   </v>
      </c>
      <c r="BM422">
        <v>2</v>
      </c>
      <c r="BO422">
        <v>0</v>
      </c>
      <c r="BP422">
        <v>0</v>
      </c>
      <c r="BQ422">
        <v>0</v>
      </c>
      <c r="BR422">
        <v>1975</v>
      </c>
      <c r="BS422">
        <v>200</v>
      </c>
      <c r="BT422" t="s">
        <v>128</v>
      </c>
      <c r="BU422">
        <v>0</v>
      </c>
      <c r="BV422">
        <v>0</v>
      </c>
      <c r="BW422">
        <v>0</v>
      </c>
      <c r="BX422">
        <v>1</v>
      </c>
      <c r="CA422">
        <v>0</v>
      </c>
      <c r="CB422">
        <v>0</v>
      </c>
      <c r="CC422">
        <v>0</v>
      </c>
      <c r="CM422" t="str">
        <f>"17:47:44.350"</f>
        <v>17:47:44.350</v>
      </c>
      <c r="CN422">
        <v>349809966</v>
      </c>
      <c r="CQ422">
        <v>0</v>
      </c>
      <c r="CR422">
        <v>2496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3</v>
      </c>
      <c r="DB422">
        <v>2</v>
      </c>
      <c r="DC422">
        <v>0</v>
      </c>
      <c r="DD422">
        <v>2</v>
      </c>
      <c r="DE422">
        <v>0</v>
      </c>
      <c r="DF422">
        <v>7</v>
      </c>
      <c r="DG422">
        <v>7</v>
      </c>
      <c r="DH422" t="s">
        <v>124</v>
      </c>
      <c r="DI422">
        <v>71</v>
      </c>
      <c r="DJ422">
        <v>1</v>
      </c>
      <c r="DK422" t="s">
        <v>134</v>
      </c>
      <c r="DL422" t="s">
        <v>135</v>
      </c>
      <c r="DO422">
        <v>11603515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</row>
    <row r="423" spans="1:131" x14ac:dyDescent="0.35">
      <c r="A423" s="2" t="str">
        <f>"17:47:45.554"</f>
        <v>17:47:45.554</v>
      </c>
      <c r="B423" s="4">
        <f t="shared" si="69"/>
        <v>64065.553999999996</v>
      </c>
      <c r="C423" s="4">
        <f t="shared" si="63"/>
        <v>465.55399999999645</v>
      </c>
      <c r="D423" s="3">
        <f t="shared" si="64"/>
        <v>0.74149946759259255</v>
      </c>
      <c r="E423" s="2">
        <f t="shared" si="65"/>
        <v>0.74149946759259255</v>
      </c>
      <c r="G423" t="str">
        <f t="shared" si="60"/>
        <v>FFDFD7C0</v>
      </c>
      <c r="H423" t="s">
        <v>126</v>
      </c>
      <c r="I423">
        <v>8</v>
      </c>
      <c r="J423">
        <v>1008</v>
      </c>
      <c r="K423" t="s">
        <v>129</v>
      </c>
      <c r="N423" t="s">
        <v>127</v>
      </c>
      <c r="O423">
        <v>0</v>
      </c>
      <c r="P423">
        <v>3</v>
      </c>
      <c r="Q423">
        <v>0</v>
      </c>
      <c r="R423">
        <v>2</v>
      </c>
      <c r="S423">
        <v>1</v>
      </c>
      <c r="T423">
        <v>0</v>
      </c>
      <c r="U423">
        <v>0</v>
      </c>
      <c r="W423" t="str">
        <f>"17:47:45.234"</f>
        <v>17:47:45.234</v>
      </c>
      <c r="X423" t="str">
        <f>"17:47:45.134"</f>
        <v>17:47:45.134</v>
      </c>
      <c r="Y423" t="str">
        <f t="shared" si="61"/>
        <v>A7C771</v>
      </c>
      <c r="Z423">
        <v>0</v>
      </c>
      <c r="AA423">
        <v>0</v>
      </c>
      <c r="AB423">
        <v>2</v>
      </c>
      <c r="AC423">
        <v>0</v>
      </c>
      <c r="AE423">
        <v>0</v>
      </c>
      <c r="AF423">
        <v>8</v>
      </c>
      <c r="AG423">
        <v>3</v>
      </c>
      <c r="AH423">
        <v>0</v>
      </c>
      <c r="AI423">
        <v>9</v>
      </c>
      <c r="AJ423" t="s">
        <v>125</v>
      </c>
      <c r="AK423">
        <v>0</v>
      </c>
      <c r="AL423">
        <v>3</v>
      </c>
      <c r="AM423">
        <v>2</v>
      </c>
      <c r="AN423">
        <v>1</v>
      </c>
      <c r="AO423" t="s">
        <v>921</v>
      </c>
      <c r="AP423">
        <v>43.075526000000004</v>
      </c>
      <c r="AQ423" t="s">
        <v>915</v>
      </c>
      <c r="AR423">
        <v>-77.564656999999997</v>
      </c>
      <c r="AS423">
        <v>25</v>
      </c>
      <c r="AT423">
        <v>1775</v>
      </c>
      <c r="AU423" t="s">
        <v>123</v>
      </c>
      <c r="AV423">
        <v>1</v>
      </c>
      <c r="AW423">
        <v>156</v>
      </c>
      <c r="AX423">
        <v>-576</v>
      </c>
      <c r="AZ423">
        <f t="shared" si="66"/>
        <v>1</v>
      </c>
      <c r="BA423">
        <f t="shared" si="67"/>
        <v>24336</v>
      </c>
      <c r="BB423" s="1">
        <f t="shared" si="68"/>
        <v>156.00320509528001</v>
      </c>
      <c r="BJ423">
        <v>1404</v>
      </c>
      <c r="BK423">
        <v>1</v>
      </c>
      <c r="BL423" t="str">
        <f t="shared" si="62"/>
        <v xml:space="preserve">N600C   </v>
      </c>
      <c r="BM423">
        <v>2</v>
      </c>
      <c r="BO423">
        <v>0</v>
      </c>
      <c r="BP423">
        <v>0</v>
      </c>
      <c r="BQ423">
        <v>0</v>
      </c>
      <c r="BR423">
        <v>1950</v>
      </c>
      <c r="BS423">
        <v>175</v>
      </c>
      <c r="BT423" t="s">
        <v>128</v>
      </c>
      <c r="BU423">
        <v>0</v>
      </c>
      <c r="BV423">
        <v>0</v>
      </c>
      <c r="BW423">
        <v>0</v>
      </c>
      <c r="BX423">
        <v>1</v>
      </c>
      <c r="CA423">
        <v>0</v>
      </c>
      <c r="CB423">
        <v>0</v>
      </c>
      <c r="CC423">
        <v>0</v>
      </c>
      <c r="CM423" t="str">
        <f>"17:47:45.238"</f>
        <v>17:47:45.238</v>
      </c>
      <c r="CN423">
        <v>237974152</v>
      </c>
      <c r="CQ423">
        <v>0</v>
      </c>
      <c r="CR423">
        <v>2496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3</v>
      </c>
      <c r="DB423">
        <v>2</v>
      </c>
      <c r="DC423">
        <v>0</v>
      </c>
      <c r="DD423">
        <v>2</v>
      </c>
      <c r="DE423">
        <v>0</v>
      </c>
      <c r="DF423">
        <v>7</v>
      </c>
      <c r="DG423">
        <v>7</v>
      </c>
      <c r="DH423" t="s">
        <v>124</v>
      </c>
      <c r="DI423">
        <v>71</v>
      </c>
      <c r="DJ423">
        <v>0</v>
      </c>
      <c r="DK423" t="s">
        <v>134</v>
      </c>
      <c r="DL423" t="s">
        <v>135</v>
      </c>
      <c r="DO423">
        <v>10240884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</row>
    <row r="424" spans="1:131" x14ac:dyDescent="0.35">
      <c r="A424" s="2" t="str">
        <f>"17:48:00.210"</f>
        <v>17:48:00.210</v>
      </c>
      <c r="B424" s="4">
        <f t="shared" si="69"/>
        <v>64080.21</v>
      </c>
      <c r="C424" s="4">
        <f t="shared" si="63"/>
        <v>480.20999999999913</v>
      </c>
      <c r="D424" s="3">
        <f t="shared" si="64"/>
        <v>0.74166909722222218</v>
      </c>
      <c r="E424" s="2">
        <f t="shared" si="65"/>
        <v>0.74166909722222218</v>
      </c>
      <c r="G424" t="str">
        <f t="shared" si="60"/>
        <v>FFDFD7C0</v>
      </c>
      <c r="H424" t="s">
        <v>126</v>
      </c>
      <c r="I424">
        <v>8</v>
      </c>
      <c r="J424">
        <v>1008</v>
      </c>
      <c r="K424" t="s">
        <v>129</v>
      </c>
      <c r="N424" t="s">
        <v>127</v>
      </c>
      <c r="O424">
        <v>0</v>
      </c>
      <c r="P424">
        <v>3</v>
      </c>
      <c r="Q424">
        <v>0</v>
      </c>
      <c r="R424">
        <v>2</v>
      </c>
      <c r="S424">
        <v>1</v>
      </c>
      <c r="T424">
        <v>0</v>
      </c>
      <c r="U424">
        <v>0</v>
      </c>
      <c r="W424" t="str">
        <f>"17:47:59.906"</f>
        <v>17:47:59.906</v>
      </c>
      <c r="X424" t="str">
        <f>"17:47:59.806"</f>
        <v>17:47:59.806</v>
      </c>
      <c r="Y424" t="str">
        <f t="shared" si="61"/>
        <v>A7C771</v>
      </c>
      <c r="Z424">
        <v>0</v>
      </c>
      <c r="AA424">
        <v>0</v>
      </c>
      <c r="AB424">
        <v>2</v>
      </c>
      <c r="AC424">
        <v>0</v>
      </c>
      <c r="AE424">
        <v>0</v>
      </c>
      <c r="AF424">
        <v>8</v>
      </c>
      <c r="AG424">
        <v>3</v>
      </c>
      <c r="AH424">
        <v>0</v>
      </c>
      <c r="AI424">
        <v>9</v>
      </c>
      <c r="AJ424" t="s">
        <v>125</v>
      </c>
      <c r="AK424">
        <v>0</v>
      </c>
      <c r="AL424">
        <v>3</v>
      </c>
      <c r="AM424">
        <v>2</v>
      </c>
      <c r="AN424">
        <v>1</v>
      </c>
      <c r="AO424" t="s">
        <v>922</v>
      </c>
      <c r="AP424">
        <v>43.086039999999997</v>
      </c>
      <c r="AQ424" t="s">
        <v>923</v>
      </c>
      <c r="AR424">
        <v>-77.564249000000004</v>
      </c>
      <c r="AS424">
        <v>25</v>
      </c>
      <c r="AT424">
        <v>1650</v>
      </c>
      <c r="AU424" t="s">
        <v>123</v>
      </c>
      <c r="AV424">
        <v>5</v>
      </c>
      <c r="AW424">
        <v>151</v>
      </c>
      <c r="AX424">
        <v>-128</v>
      </c>
      <c r="AZ424">
        <f t="shared" si="66"/>
        <v>25</v>
      </c>
      <c r="BA424">
        <f t="shared" si="67"/>
        <v>22801</v>
      </c>
      <c r="BB424" s="1">
        <f t="shared" si="68"/>
        <v>151.08275877809487</v>
      </c>
      <c r="BJ424">
        <v>1404</v>
      </c>
      <c r="BK424">
        <v>1</v>
      </c>
      <c r="BL424" t="str">
        <f t="shared" si="62"/>
        <v xml:space="preserve">N600C   </v>
      </c>
      <c r="BM424">
        <v>2</v>
      </c>
      <c r="BO424">
        <v>0</v>
      </c>
      <c r="BP424">
        <v>0</v>
      </c>
      <c r="BQ424">
        <v>0</v>
      </c>
      <c r="BR424">
        <v>1850</v>
      </c>
      <c r="BS424">
        <v>200</v>
      </c>
      <c r="BT424" t="s">
        <v>128</v>
      </c>
      <c r="BU424">
        <v>0</v>
      </c>
      <c r="BV424">
        <v>0</v>
      </c>
      <c r="BW424">
        <v>0</v>
      </c>
      <c r="BX424">
        <v>1</v>
      </c>
      <c r="CA424">
        <v>0</v>
      </c>
      <c r="CB424">
        <v>0</v>
      </c>
      <c r="CC424">
        <v>0</v>
      </c>
      <c r="CM424" t="str">
        <f>"17:47:59.913"</f>
        <v>17:47:59.913</v>
      </c>
      <c r="CN424">
        <v>912721639</v>
      </c>
      <c r="CQ424">
        <v>0</v>
      </c>
      <c r="CR424">
        <v>2496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3</v>
      </c>
      <c r="DB424">
        <v>2</v>
      </c>
      <c r="DC424">
        <v>0</v>
      </c>
      <c r="DD424">
        <v>2</v>
      </c>
      <c r="DE424">
        <v>0</v>
      </c>
      <c r="DF424">
        <v>7</v>
      </c>
      <c r="DG424">
        <v>7</v>
      </c>
      <c r="DH424" t="s">
        <v>124</v>
      </c>
      <c r="DI424">
        <v>71</v>
      </c>
      <c r="DJ424">
        <v>0</v>
      </c>
      <c r="DK424" t="s">
        <v>134</v>
      </c>
      <c r="DL424" t="s">
        <v>135</v>
      </c>
      <c r="DO424">
        <v>10251661</v>
      </c>
      <c r="DQ424">
        <v>0</v>
      </c>
      <c r="DR424">
        <v>0</v>
      </c>
      <c r="DS424">
        <v>1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</row>
    <row r="425" spans="1:131" x14ac:dyDescent="0.35">
      <c r="A425" s="2" t="str">
        <f>"17:48:01.175"</f>
        <v>17:48:01.175</v>
      </c>
      <c r="B425" s="4">
        <f t="shared" si="69"/>
        <v>64081.175000000003</v>
      </c>
      <c r="C425" s="4">
        <f t="shared" si="63"/>
        <v>481.17500000000291</v>
      </c>
      <c r="D425" s="3">
        <f t="shared" si="64"/>
        <v>0.74168026620370375</v>
      </c>
      <c r="E425" s="2">
        <f t="shared" si="65"/>
        <v>0.74168026620370375</v>
      </c>
      <c r="G425" t="str">
        <f t="shared" si="60"/>
        <v>FFDFD7C0</v>
      </c>
      <c r="H425" t="s">
        <v>126</v>
      </c>
      <c r="I425">
        <v>8</v>
      </c>
      <c r="J425">
        <v>1008</v>
      </c>
      <c r="K425" t="s">
        <v>129</v>
      </c>
      <c r="N425" t="s">
        <v>127</v>
      </c>
      <c r="O425">
        <v>0</v>
      </c>
      <c r="P425">
        <v>3</v>
      </c>
      <c r="Q425">
        <v>0</v>
      </c>
      <c r="R425">
        <v>2</v>
      </c>
      <c r="S425">
        <v>1</v>
      </c>
      <c r="T425">
        <v>0</v>
      </c>
      <c r="U425">
        <v>0</v>
      </c>
      <c r="W425" t="str">
        <f>"17:48:00.820"</f>
        <v>17:48:00.820</v>
      </c>
      <c r="X425" t="str">
        <f>"17:48:00.420"</f>
        <v>17:48:00.420</v>
      </c>
      <c r="Y425" t="str">
        <f t="shared" si="61"/>
        <v>A7C771</v>
      </c>
      <c r="Z425">
        <v>0</v>
      </c>
      <c r="AA425">
        <v>0</v>
      </c>
      <c r="AB425">
        <v>2</v>
      </c>
      <c r="AC425">
        <v>0</v>
      </c>
      <c r="AE425">
        <v>0</v>
      </c>
      <c r="AF425">
        <v>8</v>
      </c>
      <c r="AG425">
        <v>3</v>
      </c>
      <c r="AH425">
        <v>0</v>
      </c>
      <c r="AI425">
        <v>9</v>
      </c>
      <c r="AJ425" t="s">
        <v>125</v>
      </c>
      <c r="AK425">
        <v>0</v>
      </c>
      <c r="AL425">
        <v>3</v>
      </c>
      <c r="AM425">
        <v>2</v>
      </c>
      <c r="AN425">
        <v>1</v>
      </c>
      <c r="AO425" t="s">
        <v>924</v>
      </c>
      <c r="AP425">
        <v>43.086661999999997</v>
      </c>
      <c r="AQ425" t="s">
        <v>925</v>
      </c>
      <c r="AR425">
        <v>-77.564269999999993</v>
      </c>
      <c r="AS425">
        <v>25</v>
      </c>
      <c r="AT425">
        <v>1650</v>
      </c>
      <c r="AU425" t="s">
        <v>123</v>
      </c>
      <c r="AV425">
        <v>5</v>
      </c>
      <c r="AW425">
        <v>151</v>
      </c>
      <c r="AX425">
        <v>-64</v>
      </c>
      <c r="AZ425">
        <f t="shared" si="66"/>
        <v>25</v>
      </c>
      <c r="BA425">
        <f t="shared" si="67"/>
        <v>22801</v>
      </c>
      <c r="BB425" s="1">
        <f t="shared" si="68"/>
        <v>151.08275877809487</v>
      </c>
      <c r="BJ425">
        <v>1404</v>
      </c>
      <c r="BK425">
        <v>1</v>
      </c>
      <c r="BL425" t="str">
        <f t="shared" si="62"/>
        <v xml:space="preserve">N600C   </v>
      </c>
      <c r="BM425">
        <v>2</v>
      </c>
      <c r="BO425">
        <v>0</v>
      </c>
      <c r="BP425">
        <v>0</v>
      </c>
      <c r="BQ425">
        <v>0</v>
      </c>
      <c r="BR425">
        <v>1850</v>
      </c>
      <c r="BS425">
        <v>200</v>
      </c>
      <c r="BT425" t="s">
        <v>128</v>
      </c>
      <c r="BU425">
        <v>0</v>
      </c>
      <c r="BV425">
        <v>0</v>
      </c>
      <c r="BW425">
        <v>0</v>
      </c>
      <c r="BX425">
        <v>1</v>
      </c>
      <c r="CA425">
        <v>0</v>
      </c>
      <c r="CB425">
        <v>0</v>
      </c>
      <c r="CC425">
        <v>0</v>
      </c>
      <c r="CM425" t="str">
        <f>"17:48:00.825"</f>
        <v>17:48:00.825</v>
      </c>
      <c r="CN425">
        <v>824846431</v>
      </c>
      <c r="CQ425">
        <v>0</v>
      </c>
      <c r="CR425">
        <v>2496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3</v>
      </c>
      <c r="DB425">
        <v>2</v>
      </c>
      <c r="DC425">
        <v>0</v>
      </c>
      <c r="DD425">
        <v>2</v>
      </c>
      <c r="DE425">
        <v>0</v>
      </c>
      <c r="DF425">
        <v>7</v>
      </c>
      <c r="DG425">
        <v>7</v>
      </c>
      <c r="DH425" t="s">
        <v>124</v>
      </c>
      <c r="DI425">
        <v>407</v>
      </c>
      <c r="DJ425">
        <v>3</v>
      </c>
      <c r="DK425" t="s">
        <v>132</v>
      </c>
      <c r="DL425" t="s">
        <v>133</v>
      </c>
      <c r="DO425">
        <v>1700124</v>
      </c>
      <c r="DQ425">
        <v>0</v>
      </c>
      <c r="DR425">
        <v>0</v>
      </c>
      <c r="DS425">
        <v>1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</row>
    <row r="426" spans="1:131" x14ac:dyDescent="0.35">
      <c r="A426" s="2" t="str">
        <f>"17:48:02.169"</f>
        <v>17:48:02.169</v>
      </c>
      <c r="B426" s="4">
        <f t="shared" si="69"/>
        <v>64082.169000000002</v>
      </c>
      <c r="C426" s="4">
        <f t="shared" si="63"/>
        <v>482.16900000000169</v>
      </c>
      <c r="D426" s="3">
        <f t="shared" si="64"/>
        <v>0.74169177083333337</v>
      </c>
      <c r="E426" s="2">
        <f t="shared" si="65"/>
        <v>0.74169177083333337</v>
      </c>
      <c r="G426" t="str">
        <f t="shared" si="60"/>
        <v>FFDFD7C0</v>
      </c>
      <c r="H426" t="s">
        <v>126</v>
      </c>
      <c r="I426">
        <v>8</v>
      </c>
      <c r="J426">
        <v>1008</v>
      </c>
      <c r="K426" t="s">
        <v>129</v>
      </c>
      <c r="N426" t="s">
        <v>127</v>
      </c>
      <c r="O426">
        <v>0</v>
      </c>
      <c r="P426">
        <v>3</v>
      </c>
      <c r="Q426">
        <v>0</v>
      </c>
      <c r="R426">
        <v>2</v>
      </c>
      <c r="S426">
        <v>1</v>
      </c>
      <c r="T426">
        <v>0</v>
      </c>
      <c r="U426">
        <v>0</v>
      </c>
      <c r="W426" t="str">
        <f>"17:48:01.828"</f>
        <v>17:48:01.828</v>
      </c>
      <c r="X426" t="str">
        <f>"17:48:01.428"</f>
        <v>17:48:01.428</v>
      </c>
      <c r="Y426" t="str">
        <f t="shared" si="61"/>
        <v>A7C771</v>
      </c>
      <c r="Z426">
        <v>0</v>
      </c>
      <c r="AA426">
        <v>0</v>
      </c>
      <c r="AB426">
        <v>2</v>
      </c>
      <c r="AC426">
        <v>0</v>
      </c>
      <c r="AE426">
        <v>0</v>
      </c>
      <c r="AF426">
        <v>8</v>
      </c>
      <c r="AG426">
        <v>3</v>
      </c>
      <c r="AH426">
        <v>0</v>
      </c>
      <c r="AI426">
        <v>9</v>
      </c>
      <c r="AJ426" t="s">
        <v>125</v>
      </c>
      <c r="AK426">
        <v>0</v>
      </c>
      <c r="AL426">
        <v>3</v>
      </c>
      <c r="AM426">
        <v>2</v>
      </c>
      <c r="AN426">
        <v>1</v>
      </c>
      <c r="AO426" t="s">
        <v>927</v>
      </c>
      <c r="AP426">
        <v>43.087349000000003</v>
      </c>
      <c r="AQ426" t="s">
        <v>926</v>
      </c>
      <c r="AR426">
        <v>-77.564205999999999</v>
      </c>
      <c r="AS426">
        <v>25</v>
      </c>
      <c r="AT426">
        <v>1650</v>
      </c>
      <c r="AU426" t="s">
        <v>123</v>
      </c>
      <c r="AV426">
        <v>4</v>
      </c>
      <c r="AW426">
        <v>150</v>
      </c>
      <c r="AX426">
        <v>-128</v>
      </c>
      <c r="AZ426">
        <f t="shared" si="66"/>
        <v>16</v>
      </c>
      <c r="BA426">
        <f t="shared" si="67"/>
        <v>22500</v>
      </c>
      <c r="BB426" s="1">
        <f t="shared" si="68"/>
        <v>150.05332385522155</v>
      </c>
      <c r="BJ426">
        <v>1404</v>
      </c>
      <c r="BK426">
        <v>1</v>
      </c>
      <c r="BL426" t="str">
        <f t="shared" si="62"/>
        <v xml:space="preserve">N600C   </v>
      </c>
      <c r="BM426">
        <v>2</v>
      </c>
      <c r="BO426">
        <v>0</v>
      </c>
      <c r="BP426">
        <v>0</v>
      </c>
      <c r="BQ426">
        <v>0</v>
      </c>
      <c r="BR426">
        <v>1850</v>
      </c>
      <c r="BS426">
        <v>200</v>
      </c>
      <c r="BT426" t="s">
        <v>128</v>
      </c>
      <c r="BU426">
        <v>0</v>
      </c>
      <c r="BV426">
        <v>0</v>
      </c>
      <c r="BW426">
        <v>0</v>
      </c>
      <c r="BX426">
        <v>1</v>
      </c>
      <c r="CA426">
        <v>0</v>
      </c>
      <c r="CB426">
        <v>0</v>
      </c>
      <c r="CC426">
        <v>0</v>
      </c>
      <c r="CM426" t="str">
        <f>"17:48:01.833"</f>
        <v>17:48:01.833</v>
      </c>
      <c r="CN426">
        <v>833033108</v>
      </c>
      <c r="CQ426">
        <v>0</v>
      </c>
      <c r="CR426">
        <v>2496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3</v>
      </c>
      <c r="DB426">
        <v>2</v>
      </c>
      <c r="DC426">
        <v>0</v>
      </c>
      <c r="DD426">
        <v>2</v>
      </c>
      <c r="DE426">
        <v>0</v>
      </c>
      <c r="DF426">
        <v>7</v>
      </c>
      <c r="DG426">
        <v>7</v>
      </c>
      <c r="DH426" t="s">
        <v>124</v>
      </c>
      <c r="DI426">
        <v>407</v>
      </c>
      <c r="DJ426">
        <v>3</v>
      </c>
      <c r="DK426" t="s">
        <v>132</v>
      </c>
      <c r="DL426" t="s">
        <v>133</v>
      </c>
      <c r="DO426">
        <v>1701181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</row>
    <row r="427" spans="1:131" x14ac:dyDescent="0.35">
      <c r="A427" s="2" t="str">
        <f>"17:48:03.075"</f>
        <v>17:48:03.075</v>
      </c>
      <c r="B427" s="4">
        <f t="shared" si="69"/>
        <v>64083.07499999999</v>
      </c>
      <c r="C427" s="4">
        <f t="shared" si="63"/>
        <v>483.07499999998981</v>
      </c>
      <c r="D427" s="3">
        <f t="shared" si="64"/>
        <v>0.74170225694444436</v>
      </c>
      <c r="E427" s="2">
        <f t="shared" si="65"/>
        <v>0.74170225694444436</v>
      </c>
      <c r="G427" t="str">
        <f t="shared" si="60"/>
        <v>FFDFD7C0</v>
      </c>
      <c r="H427" t="s">
        <v>126</v>
      </c>
      <c r="I427">
        <v>8</v>
      </c>
      <c r="J427">
        <v>1008</v>
      </c>
      <c r="K427" t="s">
        <v>129</v>
      </c>
      <c r="N427" t="s">
        <v>127</v>
      </c>
      <c r="O427">
        <v>0</v>
      </c>
      <c r="P427">
        <v>3</v>
      </c>
      <c r="Q427">
        <v>0</v>
      </c>
      <c r="R427">
        <v>2</v>
      </c>
      <c r="S427">
        <v>1</v>
      </c>
      <c r="T427">
        <v>0</v>
      </c>
      <c r="U427">
        <v>0</v>
      </c>
      <c r="W427" t="str">
        <f>"17:48:02.836"</f>
        <v>17:48:02.836</v>
      </c>
      <c r="X427" t="str">
        <f>"17:48:02.436"</f>
        <v>17:48:02.436</v>
      </c>
      <c r="Y427" t="str">
        <f t="shared" si="61"/>
        <v>A7C771</v>
      </c>
      <c r="Z427">
        <v>0</v>
      </c>
      <c r="AA427">
        <v>0</v>
      </c>
      <c r="AB427">
        <v>2</v>
      </c>
      <c r="AC427">
        <v>0</v>
      </c>
      <c r="AE427">
        <v>0</v>
      </c>
      <c r="AF427">
        <v>8</v>
      </c>
      <c r="AG427">
        <v>3</v>
      </c>
      <c r="AH427">
        <v>0</v>
      </c>
      <c r="AI427">
        <v>9</v>
      </c>
      <c r="AJ427" t="s">
        <v>125</v>
      </c>
      <c r="AK427">
        <v>0</v>
      </c>
      <c r="AL427">
        <v>3</v>
      </c>
      <c r="AM427">
        <v>2</v>
      </c>
      <c r="AN427">
        <v>1</v>
      </c>
      <c r="AO427" t="s">
        <v>928</v>
      </c>
      <c r="AP427">
        <v>43.088056999999999</v>
      </c>
      <c r="AQ427" t="s">
        <v>926</v>
      </c>
      <c r="AR427">
        <v>-77.564205999999999</v>
      </c>
      <c r="AS427">
        <v>25</v>
      </c>
      <c r="AT427">
        <v>1650</v>
      </c>
      <c r="AU427" t="s">
        <v>123</v>
      </c>
      <c r="AV427">
        <v>4</v>
      </c>
      <c r="AW427">
        <v>149</v>
      </c>
      <c r="AX427">
        <v>-256</v>
      </c>
      <c r="AZ427">
        <f t="shared" si="66"/>
        <v>16</v>
      </c>
      <c r="BA427">
        <f t="shared" si="67"/>
        <v>22201</v>
      </c>
      <c r="BB427" s="1">
        <f t="shared" si="68"/>
        <v>149.05368160498418</v>
      </c>
      <c r="BJ427">
        <v>1404</v>
      </c>
      <c r="BK427">
        <v>1</v>
      </c>
      <c r="BL427" t="str">
        <f t="shared" si="62"/>
        <v xml:space="preserve">N600C   </v>
      </c>
      <c r="BM427">
        <v>2</v>
      </c>
      <c r="BO427">
        <v>0</v>
      </c>
      <c r="BP427">
        <v>0</v>
      </c>
      <c r="BQ427">
        <v>0</v>
      </c>
      <c r="BR427">
        <v>1850</v>
      </c>
      <c r="BS427">
        <v>200</v>
      </c>
      <c r="BT427" t="s">
        <v>128</v>
      </c>
      <c r="BU427">
        <v>0</v>
      </c>
      <c r="BV427">
        <v>0</v>
      </c>
      <c r="BW427">
        <v>0</v>
      </c>
      <c r="BX427">
        <v>1</v>
      </c>
      <c r="CA427">
        <v>0</v>
      </c>
      <c r="CB427">
        <v>0</v>
      </c>
      <c r="CC427">
        <v>0</v>
      </c>
      <c r="CM427" t="str">
        <f>"17:48:02.841"</f>
        <v>17:48:02.841</v>
      </c>
      <c r="CN427">
        <v>841222254</v>
      </c>
      <c r="CQ427">
        <v>0</v>
      </c>
      <c r="CR427">
        <v>2496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3</v>
      </c>
      <c r="DB427">
        <v>2</v>
      </c>
      <c r="DC427">
        <v>0</v>
      </c>
      <c r="DD427">
        <v>2</v>
      </c>
      <c r="DE427">
        <v>0</v>
      </c>
      <c r="DF427">
        <v>7</v>
      </c>
      <c r="DG427">
        <v>7</v>
      </c>
      <c r="DH427" t="s">
        <v>124</v>
      </c>
      <c r="DI427">
        <v>71</v>
      </c>
      <c r="DJ427">
        <v>1</v>
      </c>
      <c r="DK427" t="s">
        <v>134</v>
      </c>
      <c r="DL427" t="s">
        <v>135</v>
      </c>
      <c r="DO427">
        <v>11619294</v>
      </c>
      <c r="DQ427">
        <v>0</v>
      </c>
      <c r="DR427">
        <v>0</v>
      </c>
      <c r="DS427">
        <v>1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</row>
    <row r="428" spans="1:131" x14ac:dyDescent="0.35">
      <c r="A428" s="2" t="str">
        <f>"17:48:04.115"</f>
        <v>17:48:04.115</v>
      </c>
      <c r="B428" s="4">
        <f t="shared" si="69"/>
        <v>64084.114999999998</v>
      </c>
      <c r="C428" s="4">
        <f t="shared" si="63"/>
        <v>484.11499999999796</v>
      </c>
      <c r="D428" s="3">
        <f t="shared" si="64"/>
        <v>0.74171429398148148</v>
      </c>
      <c r="E428" s="2">
        <f t="shared" si="65"/>
        <v>0.74171429398148148</v>
      </c>
      <c r="G428" t="str">
        <f t="shared" si="60"/>
        <v>FFDFD7C0</v>
      </c>
      <c r="H428" t="s">
        <v>126</v>
      </c>
      <c r="I428">
        <v>8</v>
      </c>
      <c r="J428">
        <v>1008</v>
      </c>
      <c r="K428" t="s">
        <v>129</v>
      </c>
      <c r="N428" t="s">
        <v>127</v>
      </c>
      <c r="O428">
        <v>0</v>
      </c>
      <c r="P428">
        <v>3</v>
      </c>
      <c r="Q428">
        <v>0</v>
      </c>
      <c r="R428">
        <v>2</v>
      </c>
      <c r="S428">
        <v>1</v>
      </c>
      <c r="T428">
        <v>0</v>
      </c>
      <c r="U428">
        <v>0</v>
      </c>
      <c r="W428" t="str">
        <f>"17:48:03.836"</f>
        <v>17:48:03.836</v>
      </c>
      <c r="X428" t="str">
        <f>"17:48:03.436"</f>
        <v>17:48:03.436</v>
      </c>
      <c r="Y428" t="str">
        <f t="shared" si="61"/>
        <v>A7C771</v>
      </c>
      <c r="Z428">
        <v>0</v>
      </c>
      <c r="AA428">
        <v>0</v>
      </c>
      <c r="AB428">
        <v>2</v>
      </c>
      <c r="AC428">
        <v>0</v>
      </c>
      <c r="AE428">
        <v>0</v>
      </c>
      <c r="AF428">
        <v>8</v>
      </c>
      <c r="AG428">
        <v>3</v>
      </c>
      <c r="AH428">
        <v>0</v>
      </c>
      <c r="AI428">
        <v>9</v>
      </c>
      <c r="AJ428" t="s">
        <v>125</v>
      </c>
      <c r="AK428">
        <v>0</v>
      </c>
      <c r="AL428">
        <v>3</v>
      </c>
      <c r="AM428">
        <v>2</v>
      </c>
      <c r="AN428">
        <v>1</v>
      </c>
      <c r="AO428" t="s">
        <v>929</v>
      </c>
      <c r="AP428">
        <v>43.088743999999998</v>
      </c>
      <c r="AQ428" t="s">
        <v>926</v>
      </c>
      <c r="AR428">
        <v>-77.564205999999999</v>
      </c>
      <c r="AS428">
        <v>25</v>
      </c>
      <c r="AT428">
        <v>1650</v>
      </c>
      <c r="AU428" t="s">
        <v>123</v>
      </c>
      <c r="AV428">
        <v>3</v>
      </c>
      <c r="AW428">
        <v>149</v>
      </c>
      <c r="AX428">
        <v>-320</v>
      </c>
      <c r="AZ428">
        <f t="shared" si="66"/>
        <v>9</v>
      </c>
      <c r="BA428">
        <f t="shared" si="67"/>
        <v>22201</v>
      </c>
      <c r="BB428" s="1">
        <f t="shared" si="68"/>
        <v>149.03019828209315</v>
      </c>
      <c r="BJ428">
        <v>1404</v>
      </c>
      <c r="BK428">
        <v>1</v>
      </c>
      <c r="BL428" t="str">
        <f t="shared" si="62"/>
        <v xml:space="preserve">N600C   </v>
      </c>
      <c r="BM428">
        <v>2</v>
      </c>
      <c r="BO428">
        <v>0</v>
      </c>
      <c r="BP428">
        <v>0</v>
      </c>
      <c r="BQ428">
        <v>0</v>
      </c>
      <c r="BR428">
        <v>1850</v>
      </c>
      <c r="BS428">
        <v>200</v>
      </c>
      <c r="BT428" t="s">
        <v>128</v>
      </c>
      <c r="BU428">
        <v>0</v>
      </c>
      <c r="BV428">
        <v>0</v>
      </c>
      <c r="BW428">
        <v>0</v>
      </c>
      <c r="BX428">
        <v>1</v>
      </c>
      <c r="CA428">
        <v>0</v>
      </c>
      <c r="CB428">
        <v>0</v>
      </c>
      <c r="CC428">
        <v>0</v>
      </c>
      <c r="CM428" t="str">
        <f>"17:48:03.841"</f>
        <v>17:48:03.841</v>
      </c>
      <c r="CN428">
        <v>841412675</v>
      </c>
      <c r="CQ428">
        <v>0</v>
      </c>
      <c r="CR428">
        <v>2496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3</v>
      </c>
      <c r="DB428">
        <v>2</v>
      </c>
      <c r="DC428">
        <v>0</v>
      </c>
      <c r="DD428">
        <v>2</v>
      </c>
      <c r="DE428">
        <v>0</v>
      </c>
      <c r="DF428">
        <v>7</v>
      </c>
      <c r="DG428">
        <v>7</v>
      </c>
      <c r="DH428" t="s">
        <v>124</v>
      </c>
      <c r="DI428">
        <v>71</v>
      </c>
      <c r="DJ428">
        <v>1</v>
      </c>
      <c r="DK428" t="s">
        <v>134</v>
      </c>
      <c r="DL428" t="s">
        <v>135</v>
      </c>
      <c r="DO428">
        <v>11620237</v>
      </c>
      <c r="DQ428">
        <v>0</v>
      </c>
      <c r="DR428">
        <v>0</v>
      </c>
      <c r="DS428">
        <v>1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</row>
    <row r="429" spans="1:131" x14ac:dyDescent="0.35">
      <c r="A429" s="2" t="str">
        <f>"17:48:05.294"</f>
        <v>17:48:05.294</v>
      </c>
      <c r="B429" s="4">
        <f t="shared" si="69"/>
        <v>64085.294000000009</v>
      </c>
      <c r="C429" s="4">
        <f t="shared" si="63"/>
        <v>485.29400000000896</v>
      </c>
      <c r="D429" s="3">
        <f t="shared" si="64"/>
        <v>0.74172793981481489</v>
      </c>
      <c r="E429" s="2">
        <f t="shared" si="65"/>
        <v>0.74172793981481489</v>
      </c>
      <c r="G429" t="str">
        <f t="shared" si="60"/>
        <v>FFDFD7C0</v>
      </c>
      <c r="H429" t="s">
        <v>126</v>
      </c>
      <c r="I429">
        <v>8</v>
      </c>
      <c r="J429">
        <v>1008</v>
      </c>
      <c r="K429" t="s">
        <v>129</v>
      </c>
      <c r="N429" t="s">
        <v>127</v>
      </c>
      <c r="O429">
        <v>0</v>
      </c>
      <c r="P429">
        <v>3</v>
      </c>
      <c r="Q429">
        <v>0</v>
      </c>
      <c r="R429">
        <v>2</v>
      </c>
      <c r="S429">
        <v>1</v>
      </c>
      <c r="T429">
        <v>0</v>
      </c>
      <c r="U429">
        <v>0</v>
      </c>
      <c r="W429" t="str">
        <f>"17:48:04.922"</f>
        <v>17:48:04.922</v>
      </c>
      <c r="X429" t="str">
        <f>"17:48:04.922"</f>
        <v>17:48:04.922</v>
      </c>
      <c r="Y429" t="str">
        <f t="shared" si="61"/>
        <v>A7C771</v>
      </c>
      <c r="Z429">
        <v>0</v>
      </c>
      <c r="AA429">
        <v>0</v>
      </c>
      <c r="AB429">
        <v>2</v>
      </c>
      <c r="AC429">
        <v>0</v>
      </c>
      <c r="AE429">
        <v>0</v>
      </c>
      <c r="AF429">
        <v>8</v>
      </c>
      <c r="AG429">
        <v>3</v>
      </c>
      <c r="AH429">
        <v>0</v>
      </c>
      <c r="AI429">
        <v>9</v>
      </c>
      <c r="AJ429" t="s">
        <v>125</v>
      </c>
      <c r="AK429">
        <v>0</v>
      </c>
      <c r="AL429">
        <v>3</v>
      </c>
      <c r="AM429">
        <v>2</v>
      </c>
      <c r="AN429">
        <v>1</v>
      </c>
      <c r="AO429" t="s">
        <v>930</v>
      </c>
      <c r="AP429">
        <v>43.089516000000003</v>
      </c>
      <c r="AQ429" t="s">
        <v>931</v>
      </c>
      <c r="AR429">
        <v>-77.564120000000003</v>
      </c>
      <c r="AS429">
        <v>25</v>
      </c>
      <c r="AT429">
        <v>1625</v>
      </c>
      <c r="AU429" t="s">
        <v>123</v>
      </c>
      <c r="AV429">
        <v>3</v>
      </c>
      <c r="AW429">
        <v>149</v>
      </c>
      <c r="AX429">
        <v>-384</v>
      </c>
      <c r="AZ429">
        <f t="shared" si="66"/>
        <v>9</v>
      </c>
      <c r="BA429">
        <f t="shared" si="67"/>
        <v>22201</v>
      </c>
      <c r="BB429" s="1">
        <f t="shared" si="68"/>
        <v>149.03019828209315</v>
      </c>
      <c r="BJ429">
        <v>1404</v>
      </c>
      <c r="BK429">
        <v>1</v>
      </c>
      <c r="BL429" t="str">
        <f t="shared" si="62"/>
        <v xml:space="preserve">N600C   </v>
      </c>
      <c r="BM429">
        <v>2</v>
      </c>
      <c r="BO429">
        <v>0</v>
      </c>
      <c r="BP429">
        <v>0</v>
      </c>
      <c r="BQ429">
        <v>0</v>
      </c>
      <c r="BR429">
        <v>1850</v>
      </c>
      <c r="BS429">
        <v>225</v>
      </c>
      <c r="BT429" t="s">
        <v>128</v>
      </c>
      <c r="BU429">
        <v>0</v>
      </c>
      <c r="BV429">
        <v>0</v>
      </c>
      <c r="BW429">
        <v>0</v>
      </c>
      <c r="BX429">
        <v>1</v>
      </c>
      <c r="CA429">
        <v>0</v>
      </c>
      <c r="CB429">
        <v>0</v>
      </c>
      <c r="CC429">
        <v>0</v>
      </c>
      <c r="CM429" t="str">
        <f>"17:48:04.930"</f>
        <v>17:48:04.930</v>
      </c>
      <c r="CN429">
        <v>929623344</v>
      </c>
      <c r="CQ429">
        <v>0</v>
      </c>
      <c r="CR429">
        <v>2496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3</v>
      </c>
      <c r="DB429">
        <v>2</v>
      </c>
      <c r="DC429">
        <v>0</v>
      </c>
      <c r="DD429">
        <v>2</v>
      </c>
      <c r="DE429">
        <v>0</v>
      </c>
      <c r="DF429">
        <v>7</v>
      </c>
      <c r="DG429">
        <v>7</v>
      </c>
      <c r="DH429" t="s">
        <v>124</v>
      </c>
      <c r="DI429">
        <v>71</v>
      </c>
      <c r="DJ429">
        <v>1</v>
      </c>
      <c r="DK429" t="s">
        <v>134</v>
      </c>
      <c r="DL429" t="s">
        <v>135</v>
      </c>
      <c r="DO429">
        <v>11621115</v>
      </c>
      <c r="DQ429">
        <v>0</v>
      </c>
      <c r="DR429">
        <v>0</v>
      </c>
      <c r="DS429">
        <v>1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</row>
    <row r="430" spans="1:131" x14ac:dyDescent="0.35">
      <c r="A430" s="2" t="str">
        <f>"17:48:06.257"</f>
        <v>17:48:06.257</v>
      </c>
      <c r="B430" s="4">
        <f t="shared" si="69"/>
        <v>64086.257000000005</v>
      </c>
      <c r="C430" s="4">
        <f t="shared" si="63"/>
        <v>486.25700000000506</v>
      </c>
      <c r="D430" s="3">
        <f t="shared" si="64"/>
        <v>0.74173908564814817</v>
      </c>
      <c r="E430" s="2">
        <f t="shared" si="65"/>
        <v>0.74173908564814817</v>
      </c>
      <c r="G430" t="str">
        <f t="shared" si="60"/>
        <v>FFDFD7C0</v>
      </c>
      <c r="H430" t="s">
        <v>126</v>
      </c>
      <c r="I430">
        <v>8</v>
      </c>
      <c r="J430">
        <v>1008</v>
      </c>
      <c r="K430" t="s">
        <v>129</v>
      </c>
      <c r="N430" t="s">
        <v>127</v>
      </c>
      <c r="O430">
        <v>0</v>
      </c>
      <c r="P430">
        <v>3</v>
      </c>
      <c r="Q430">
        <v>0</v>
      </c>
      <c r="R430">
        <v>2</v>
      </c>
      <c r="S430">
        <v>1</v>
      </c>
      <c r="T430">
        <v>0</v>
      </c>
      <c r="U430">
        <v>0</v>
      </c>
      <c r="W430" t="str">
        <f>"17:48:05.938"</f>
        <v>17:48:05.938</v>
      </c>
      <c r="X430" t="str">
        <f>"17:48:05.538"</f>
        <v>17:48:05.538</v>
      </c>
      <c r="Y430" t="str">
        <f t="shared" si="61"/>
        <v>A7C771</v>
      </c>
      <c r="Z430">
        <v>0</v>
      </c>
      <c r="AA430">
        <v>0</v>
      </c>
      <c r="AB430">
        <v>2</v>
      </c>
      <c r="AC430">
        <v>0</v>
      </c>
      <c r="AE430">
        <v>0</v>
      </c>
      <c r="AF430">
        <v>8</v>
      </c>
      <c r="AG430">
        <v>3</v>
      </c>
      <c r="AH430">
        <v>0</v>
      </c>
      <c r="AI430">
        <v>9</v>
      </c>
      <c r="AJ430" t="s">
        <v>125</v>
      </c>
      <c r="AK430">
        <v>0</v>
      </c>
      <c r="AL430">
        <v>3</v>
      </c>
      <c r="AM430">
        <v>2</v>
      </c>
      <c r="AN430">
        <v>1</v>
      </c>
      <c r="AO430" t="s">
        <v>932</v>
      </c>
      <c r="AP430">
        <v>43.090203000000002</v>
      </c>
      <c r="AQ430" t="s">
        <v>931</v>
      </c>
      <c r="AR430">
        <v>-77.564120000000003</v>
      </c>
      <c r="AS430">
        <v>25</v>
      </c>
      <c r="AT430">
        <v>1625</v>
      </c>
      <c r="AU430" t="s">
        <v>123</v>
      </c>
      <c r="AV430">
        <v>3</v>
      </c>
      <c r="AW430">
        <v>150</v>
      </c>
      <c r="AX430">
        <v>-384</v>
      </c>
      <c r="AZ430">
        <f t="shared" si="66"/>
        <v>9</v>
      </c>
      <c r="BA430">
        <f t="shared" si="67"/>
        <v>22500</v>
      </c>
      <c r="BB430" s="1">
        <f t="shared" si="68"/>
        <v>150.02999700059985</v>
      </c>
      <c r="BJ430">
        <v>1404</v>
      </c>
      <c r="BK430">
        <v>1</v>
      </c>
      <c r="BL430" t="str">
        <f t="shared" si="62"/>
        <v xml:space="preserve">N600C   </v>
      </c>
      <c r="BM430">
        <v>2</v>
      </c>
      <c r="BO430">
        <v>0</v>
      </c>
      <c r="BP430">
        <v>0</v>
      </c>
      <c r="BQ430">
        <v>0</v>
      </c>
      <c r="BR430">
        <v>1825</v>
      </c>
      <c r="BS430">
        <v>200</v>
      </c>
      <c r="BT430" t="s">
        <v>128</v>
      </c>
      <c r="BU430">
        <v>0</v>
      </c>
      <c r="BV430">
        <v>0</v>
      </c>
      <c r="BW430">
        <v>0</v>
      </c>
      <c r="BX430">
        <v>1</v>
      </c>
      <c r="CA430">
        <v>0</v>
      </c>
      <c r="CB430">
        <v>0</v>
      </c>
      <c r="CC430">
        <v>0</v>
      </c>
      <c r="CM430" t="str">
        <f>"17:48:05.938"</f>
        <v>17:48:05.938</v>
      </c>
      <c r="CN430">
        <v>937808435</v>
      </c>
      <c r="CQ430">
        <v>0</v>
      </c>
      <c r="CR430">
        <v>2496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3</v>
      </c>
      <c r="DB430">
        <v>2</v>
      </c>
      <c r="DC430">
        <v>0</v>
      </c>
      <c r="DD430">
        <v>2</v>
      </c>
      <c r="DE430">
        <v>0</v>
      </c>
      <c r="DF430">
        <v>7</v>
      </c>
      <c r="DG430">
        <v>7</v>
      </c>
      <c r="DH430" t="s">
        <v>124</v>
      </c>
      <c r="DI430">
        <v>71</v>
      </c>
      <c r="DJ430">
        <v>1</v>
      </c>
      <c r="DK430" t="s">
        <v>134</v>
      </c>
      <c r="DL430" t="s">
        <v>135</v>
      </c>
      <c r="DO430">
        <v>11621939</v>
      </c>
      <c r="DQ430">
        <v>0</v>
      </c>
      <c r="DR430">
        <v>0</v>
      </c>
      <c r="DS430">
        <v>1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</row>
    <row r="431" spans="1:131" x14ac:dyDescent="0.35">
      <c r="A431" s="2" t="str">
        <f>"17:48:07.226"</f>
        <v>17:48:07.226</v>
      </c>
      <c r="B431" s="4">
        <f t="shared" si="69"/>
        <v>64087.226000000002</v>
      </c>
      <c r="C431" s="4">
        <f t="shared" si="63"/>
        <v>487.22600000000239</v>
      </c>
      <c r="D431" s="3">
        <f t="shared" si="64"/>
        <v>0.74175030092592598</v>
      </c>
      <c r="E431" s="2">
        <f t="shared" si="65"/>
        <v>0.74175030092592598</v>
      </c>
      <c r="G431" t="str">
        <f t="shared" si="60"/>
        <v>FFDFD7C0</v>
      </c>
      <c r="H431" t="s">
        <v>126</v>
      </c>
      <c r="I431">
        <v>8</v>
      </c>
      <c r="J431">
        <v>1008</v>
      </c>
      <c r="K431" t="s">
        <v>129</v>
      </c>
      <c r="N431" t="s">
        <v>127</v>
      </c>
      <c r="O431">
        <v>0</v>
      </c>
      <c r="P431">
        <v>3</v>
      </c>
      <c r="Q431">
        <v>0</v>
      </c>
      <c r="R431">
        <v>2</v>
      </c>
      <c r="S431">
        <v>1</v>
      </c>
      <c r="T431">
        <v>0</v>
      </c>
      <c r="U431">
        <v>0</v>
      </c>
      <c r="W431" t="str">
        <f>"17:48:06.922"</f>
        <v>17:48:06.922</v>
      </c>
      <c r="X431" t="str">
        <f>"17:48:06.522"</f>
        <v>17:48:06.522</v>
      </c>
      <c r="Y431" t="str">
        <f t="shared" si="61"/>
        <v>A7C771</v>
      </c>
      <c r="Z431">
        <v>0</v>
      </c>
      <c r="AA431">
        <v>0</v>
      </c>
      <c r="AB431">
        <v>2</v>
      </c>
      <c r="AC431">
        <v>0</v>
      </c>
      <c r="AE431">
        <v>0</v>
      </c>
      <c r="AF431">
        <v>8</v>
      </c>
      <c r="AG431">
        <v>3</v>
      </c>
      <c r="AH431">
        <v>0</v>
      </c>
      <c r="AI431">
        <v>9</v>
      </c>
      <c r="AJ431" t="s">
        <v>125</v>
      </c>
      <c r="AK431">
        <v>0</v>
      </c>
      <c r="AL431">
        <v>3</v>
      </c>
      <c r="AM431">
        <v>2</v>
      </c>
      <c r="AN431">
        <v>1</v>
      </c>
      <c r="AO431" t="s">
        <v>933</v>
      </c>
      <c r="AP431">
        <v>43.090888999999997</v>
      </c>
      <c r="AQ431" t="s">
        <v>931</v>
      </c>
      <c r="AR431">
        <v>-77.564120000000003</v>
      </c>
      <c r="AS431">
        <v>25</v>
      </c>
      <c r="AT431">
        <v>1625</v>
      </c>
      <c r="AU431" t="s">
        <v>123</v>
      </c>
      <c r="AV431">
        <v>3</v>
      </c>
      <c r="AW431">
        <v>150</v>
      </c>
      <c r="AX431">
        <v>-384</v>
      </c>
      <c r="AZ431">
        <f t="shared" si="66"/>
        <v>9</v>
      </c>
      <c r="BA431">
        <f t="shared" si="67"/>
        <v>22500</v>
      </c>
      <c r="BB431" s="1">
        <f t="shared" si="68"/>
        <v>150.02999700059985</v>
      </c>
      <c r="BJ431">
        <v>1404</v>
      </c>
      <c r="BK431">
        <v>1</v>
      </c>
      <c r="BL431" t="str">
        <f t="shared" si="62"/>
        <v xml:space="preserve">N600C   </v>
      </c>
      <c r="BM431">
        <v>2</v>
      </c>
      <c r="BO431">
        <v>0</v>
      </c>
      <c r="BP431">
        <v>0</v>
      </c>
      <c r="BQ431">
        <v>0</v>
      </c>
      <c r="BR431">
        <v>1825</v>
      </c>
      <c r="BS431">
        <v>200</v>
      </c>
      <c r="BT431" t="s">
        <v>128</v>
      </c>
      <c r="BU431">
        <v>0</v>
      </c>
      <c r="BV431">
        <v>0</v>
      </c>
      <c r="BW431">
        <v>0</v>
      </c>
      <c r="BX431">
        <v>1</v>
      </c>
      <c r="CA431">
        <v>0</v>
      </c>
      <c r="CB431">
        <v>0</v>
      </c>
      <c r="CC431">
        <v>0</v>
      </c>
      <c r="CM431" t="str">
        <f>"17:48:06.922"</f>
        <v>17:48:06.922</v>
      </c>
      <c r="CN431">
        <v>921992891</v>
      </c>
      <c r="CQ431">
        <v>0</v>
      </c>
      <c r="CR431">
        <v>2496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3</v>
      </c>
      <c r="DB431">
        <v>2</v>
      </c>
      <c r="DC431">
        <v>0</v>
      </c>
      <c r="DD431">
        <v>2</v>
      </c>
      <c r="DE431">
        <v>0</v>
      </c>
      <c r="DF431">
        <v>7</v>
      </c>
      <c r="DG431">
        <v>7</v>
      </c>
      <c r="DH431" t="s">
        <v>124</v>
      </c>
      <c r="DI431">
        <v>71</v>
      </c>
      <c r="DJ431">
        <v>0</v>
      </c>
      <c r="DK431" t="s">
        <v>134</v>
      </c>
      <c r="DL431" t="s">
        <v>135</v>
      </c>
      <c r="DO431">
        <v>10256866</v>
      </c>
      <c r="DQ431">
        <v>0</v>
      </c>
      <c r="DR431">
        <v>0</v>
      </c>
      <c r="DS431">
        <v>1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</row>
    <row r="432" spans="1:131" x14ac:dyDescent="0.35">
      <c r="A432" s="2" t="str">
        <f>"17:48:08.304"</f>
        <v>17:48:08.304</v>
      </c>
      <c r="B432" s="4">
        <f t="shared" si="69"/>
        <v>64088.303999999996</v>
      </c>
      <c r="C432" s="4">
        <f t="shared" si="63"/>
        <v>488.30399999999645</v>
      </c>
      <c r="D432" s="3">
        <f t="shared" si="64"/>
        <v>0.74176277777777777</v>
      </c>
      <c r="E432" s="2">
        <f t="shared" si="65"/>
        <v>0.74176277777777777</v>
      </c>
      <c r="G432" t="str">
        <f t="shared" si="60"/>
        <v>FFDFD7C0</v>
      </c>
      <c r="H432" t="s">
        <v>126</v>
      </c>
      <c r="I432">
        <v>8</v>
      </c>
      <c r="J432">
        <v>1008</v>
      </c>
      <c r="K432" t="s">
        <v>129</v>
      </c>
      <c r="N432" t="s">
        <v>127</v>
      </c>
      <c r="O432">
        <v>0</v>
      </c>
      <c r="P432">
        <v>3</v>
      </c>
      <c r="Q432">
        <v>0</v>
      </c>
      <c r="R432">
        <v>2</v>
      </c>
      <c r="S432">
        <v>1</v>
      </c>
      <c r="T432">
        <v>0</v>
      </c>
      <c r="U432">
        <v>0</v>
      </c>
      <c r="W432" t="str">
        <f>"17:48:07.930"</f>
        <v>17:48:07.930</v>
      </c>
      <c r="X432" t="str">
        <f>"17:48:07.630"</f>
        <v>17:48:07.630</v>
      </c>
      <c r="Y432" t="str">
        <f t="shared" si="61"/>
        <v>A7C771</v>
      </c>
      <c r="Z432">
        <v>0</v>
      </c>
      <c r="AA432">
        <v>0</v>
      </c>
      <c r="AB432">
        <v>2</v>
      </c>
      <c r="AC432">
        <v>0</v>
      </c>
      <c r="AE432">
        <v>0</v>
      </c>
      <c r="AF432">
        <v>8</v>
      </c>
      <c r="AG432">
        <v>3</v>
      </c>
      <c r="AH432">
        <v>0</v>
      </c>
      <c r="AI432">
        <v>9</v>
      </c>
      <c r="AJ432" t="s">
        <v>125</v>
      </c>
      <c r="AK432">
        <v>0</v>
      </c>
      <c r="AL432">
        <v>3</v>
      </c>
      <c r="AM432">
        <v>2</v>
      </c>
      <c r="AN432">
        <v>1</v>
      </c>
      <c r="AO432" t="s">
        <v>934</v>
      </c>
      <c r="AP432">
        <v>43.091576000000003</v>
      </c>
      <c r="AQ432" t="s">
        <v>931</v>
      </c>
      <c r="AR432">
        <v>-77.564120000000003</v>
      </c>
      <c r="AS432">
        <v>25</v>
      </c>
      <c r="AT432">
        <v>1625</v>
      </c>
      <c r="AU432" t="s">
        <v>123</v>
      </c>
      <c r="AV432">
        <v>2</v>
      </c>
      <c r="AW432">
        <v>150</v>
      </c>
      <c r="AX432">
        <v>-192</v>
      </c>
      <c r="AZ432">
        <f t="shared" si="66"/>
        <v>4</v>
      </c>
      <c r="BA432">
        <f t="shared" si="67"/>
        <v>22500</v>
      </c>
      <c r="BB432" s="1">
        <f t="shared" si="68"/>
        <v>150.0133327407934</v>
      </c>
      <c r="BJ432">
        <v>1404</v>
      </c>
      <c r="BK432">
        <v>1</v>
      </c>
      <c r="BL432" t="str">
        <f t="shared" si="62"/>
        <v xml:space="preserve">N600C   </v>
      </c>
      <c r="BM432">
        <v>2</v>
      </c>
      <c r="BO432">
        <v>0</v>
      </c>
      <c r="BP432">
        <v>0</v>
      </c>
      <c r="BQ432">
        <v>0</v>
      </c>
      <c r="BR432">
        <v>1825</v>
      </c>
      <c r="BS432">
        <v>200</v>
      </c>
      <c r="BT432" t="s">
        <v>128</v>
      </c>
      <c r="BU432">
        <v>0</v>
      </c>
      <c r="BV432">
        <v>0</v>
      </c>
      <c r="BW432">
        <v>0</v>
      </c>
      <c r="BX432">
        <v>1</v>
      </c>
      <c r="CA432">
        <v>0</v>
      </c>
      <c r="CB432">
        <v>0</v>
      </c>
      <c r="CC432">
        <v>0</v>
      </c>
      <c r="CM432" t="str">
        <f>"17:48:07.930"</f>
        <v>17:48:07.930</v>
      </c>
      <c r="CN432">
        <v>930179398</v>
      </c>
      <c r="CQ432">
        <v>0</v>
      </c>
      <c r="CR432">
        <v>2496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3</v>
      </c>
      <c r="DB432">
        <v>2</v>
      </c>
      <c r="DC432">
        <v>0</v>
      </c>
      <c r="DD432">
        <v>2</v>
      </c>
      <c r="DE432">
        <v>0</v>
      </c>
      <c r="DF432">
        <v>7</v>
      </c>
      <c r="DG432">
        <v>7</v>
      </c>
      <c r="DH432" t="s">
        <v>124</v>
      </c>
      <c r="DI432">
        <v>71</v>
      </c>
      <c r="DJ432">
        <v>1</v>
      </c>
      <c r="DK432" t="s">
        <v>134</v>
      </c>
      <c r="DL432" t="s">
        <v>135</v>
      </c>
      <c r="DO432">
        <v>11623591</v>
      </c>
      <c r="DQ432">
        <v>0</v>
      </c>
      <c r="DR432">
        <v>0</v>
      </c>
      <c r="DS432">
        <v>1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</row>
    <row r="433" spans="1:131" x14ac:dyDescent="0.35">
      <c r="A433" s="2" t="str">
        <f>"17:48:09.256"</f>
        <v>17:48:09.256</v>
      </c>
      <c r="B433" s="4">
        <f t="shared" si="69"/>
        <v>64089.256000000008</v>
      </c>
      <c r="C433" s="4">
        <f t="shared" si="63"/>
        <v>489.2560000000085</v>
      </c>
      <c r="D433" s="3">
        <f t="shared" si="64"/>
        <v>0.74177379629629636</v>
      </c>
      <c r="E433" s="2">
        <f t="shared" si="65"/>
        <v>0.74177379629629636</v>
      </c>
      <c r="G433" t="str">
        <f t="shared" si="60"/>
        <v>FFDFD7C0</v>
      </c>
      <c r="H433" t="s">
        <v>126</v>
      </c>
      <c r="I433">
        <v>8</v>
      </c>
      <c r="J433">
        <v>1008</v>
      </c>
      <c r="K433" t="s">
        <v>129</v>
      </c>
      <c r="N433" t="s">
        <v>127</v>
      </c>
      <c r="O433">
        <v>0</v>
      </c>
      <c r="P433">
        <v>3</v>
      </c>
      <c r="Q433">
        <v>0</v>
      </c>
      <c r="R433">
        <v>2</v>
      </c>
      <c r="S433">
        <v>1</v>
      </c>
      <c r="T433">
        <v>0</v>
      </c>
      <c r="U433">
        <v>0</v>
      </c>
      <c r="W433" t="str">
        <f>"17:48:09.047"</f>
        <v>17:48:09.047</v>
      </c>
      <c r="X433" t="str">
        <f>"17:48:08.647"</f>
        <v>17:48:08.647</v>
      </c>
      <c r="Y433" t="str">
        <f t="shared" si="61"/>
        <v>A7C771</v>
      </c>
      <c r="Z433">
        <v>0</v>
      </c>
      <c r="AA433">
        <v>0</v>
      </c>
      <c r="AB433">
        <v>2</v>
      </c>
      <c r="AC433">
        <v>0</v>
      </c>
      <c r="AE433">
        <v>0</v>
      </c>
      <c r="AF433">
        <v>8</v>
      </c>
      <c r="AG433">
        <v>3</v>
      </c>
      <c r="AH433">
        <v>0</v>
      </c>
      <c r="AI433">
        <v>9</v>
      </c>
      <c r="AJ433" t="s">
        <v>125</v>
      </c>
      <c r="AK433">
        <v>0</v>
      </c>
      <c r="AL433">
        <v>3</v>
      </c>
      <c r="AM433">
        <v>2</v>
      </c>
      <c r="AN433">
        <v>1</v>
      </c>
      <c r="AO433" t="s">
        <v>935</v>
      </c>
      <c r="AP433">
        <v>43.092390999999999</v>
      </c>
      <c r="AQ433" t="s">
        <v>936</v>
      </c>
      <c r="AR433">
        <v>-77.564055999999994</v>
      </c>
      <c r="AS433">
        <v>25</v>
      </c>
      <c r="AT433">
        <v>1625</v>
      </c>
      <c r="AU433" t="s">
        <v>123</v>
      </c>
      <c r="AV433">
        <v>1</v>
      </c>
      <c r="AW433">
        <v>151</v>
      </c>
      <c r="AX433">
        <v>-128</v>
      </c>
      <c r="AZ433">
        <f t="shared" si="66"/>
        <v>1</v>
      </c>
      <c r="BA433">
        <f t="shared" si="67"/>
        <v>22801</v>
      </c>
      <c r="BB433" s="1">
        <f t="shared" si="68"/>
        <v>151.00331122197287</v>
      </c>
      <c r="BJ433">
        <v>1404</v>
      </c>
      <c r="BK433">
        <v>1</v>
      </c>
      <c r="BL433" t="str">
        <f t="shared" si="62"/>
        <v xml:space="preserve">N600C   </v>
      </c>
      <c r="BM433">
        <v>2</v>
      </c>
      <c r="BO433">
        <v>0</v>
      </c>
      <c r="BP433">
        <v>0</v>
      </c>
      <c r="BQ433">
        <v>0</v>
      </c>
      <c r="BR433">
        <v>1825</v>
      </c>
      <c r="BS433">
        <v>200</v>
      </c>
      <c r="BT433" t="s">
        <v>128</v>
      </c>
      <c r="BU433">
        <v>0</v>
      </c>
      <c r="BV433">
        <v>0</v>
      </c>
      <c r="BW433">
        <v>0</v>
      </c>
      <c r="BX433">
        <v>1</v>
      </c>
      <c r="CA433">
        <v>0</v>
      </c>
      <c r="CB433">
        <v>0</v>
      </c>
      <c r="CC433">
        <v>0</v>
      </c>
      <c r="CM433" t="str">
        <f>"17:48:09.050"</f>
        <v>17:48:09.050</v>
      </c>
      <c r="CN433">
        <v>50378472</v>
      </c>
      <c r="CQ433">
        <v>0</v>
      </c>
      <c r="CR433">
        <v>2496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3</v>
      </c>
      <c r="DB433">
        <v>2</v>
      </c>
      <c r="DC433">
        <v>0</v>
      </c>
      <c r="DD433">
        <v>2</v>
      </c>
      <c r="DE433">
        <v>0</v>
      </c>
      <c r="DF433">
        <v>7</v>
      </c>
      <c r="DG433">
        <v>7</v>
      </c>
      <c r="DH433" t="s">
        <v>124</v>
      </c>
      <c r="DI433">
        <v>407</v>
      </c>
      <c r="DJ433">
        <v>3</v>
      </c>
      <c r="DK433" t="s">
        <v>132</v>
      </c>
      <c r="DL433" t="s">
        <v>133</v>
      </c>
      <c r="DO433">
        <v>1708694</v>
      </c>
      <c r="DQ433">
        <v>0</v>
      </c>
      <c r="DR433">
        <v>0</v>
      </c>
      <c r="DS433">
        <v>1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</row>
    <row r="434" spans="1:131" x14ac:dyDescent="0.35">
      <c r="A434" s="2" t="str">
        <f>"17:48:10.444"</f>
        <v>17:48:10.444</v>
      </c>
      <c r="B434" s="4">
        <f t="shared" si="69"/>
        <v>64090.443999999996</v>
      </c>
      <c r="C434" s="4">
        <f t="shared" si="63"/>
        <v>490.44399999999587</v>
      </c>
      <c r="D434" s="3">
        <f t="shared" si="64"/>
        <v>0.74178754629629629</v>
      </c>
      <c r="E434" s="2">
        <f t="shared" si="65"/>
        <v>0.74178754629629629</v>
      </c>
      <c r="G434" t="str">
        <f t="shared" si="60"/>
        <v>FFDFD7C0</v>
      </c>
      <c r="H434" t="s">
        <v>126</v>
      </c>
      <c r="I434">
        <v>8</v>
      </c>
      <c r="J434">
        <v>1008</v>
      </c>
      <c r="K434" t="s">
        <v>129</v>
      </c>
      <c r="N434" t="s">
        <v>127</v>
      </c>
      <c r="O434">
        <v>0</v>
      </c>
      <c r="P434">
        <v>3</v>
      </c>
      <c r="Q434">
        <v>0</v>
      </c>
      <c r="R434">
        <v>2</v>
      </c>
      <c r="S434">
        <v>1</v>
      </c>
      <c r="T434">
        <v>0</v>
      </c>
      <c r="U434">
        <v>0</v>
      </c>
      <c r="W434" t="str">
        <f>"17:48:10.047"</f>
        <v>17:48:10.047</v>
      </c>
      <c r="X434" t="str">
        <f>"17:48:09.647"</f>
        <v>17:48:09.647</v>
      </c>
      <c r="Y434" t="str">
        <f t="shared" si="61"/>
        <v>A7C771</v>
      </c>
      <c r="Z434">
        <v>0</v>
      </c>
      <c r="AA434">
        <v>0</v>
      </c>
      <c r="AB434">
        <v>2</v>
      </c>
      <c r="AC434">
        <v>0</v>
      </c>
      <c r="AE434">
        <v>0</v>
      </c>
      <c r="AF434">
        <v>8</v>
      </c>
      <c r="AG434">
        <v>3</v>
      </c>
      <c r="AH434">
        <v>0</v>
      </c>
      <c r="AI434">
        <v>9</v>
      </c>
      <c r="AJ434" t="s">
        <v>125</v>
      </c>
      <c r="AK434">
        <v>0</v>
      </c>
      <c r="AL434">
        <v>3</v>
      </c>
      <c r="AM434">
        <v>2</v>
      </c>
      <c r="AN434">
        <v>1</v>
      </c>
      <c r="AO434" t="s">
        <v>937</v>
      </c>
      <c r="AP434">
        <v>43.093077999999998</v>
      </c>
      <c r="AQ434" t="s">
        <v>936</v>
      </c>
      <c r="AR434">
        <v>-77.564055999999994</v>
      </c>
      <c r="AS434">
        <v>25</v>
      </c>
      <c r="AT434">
        <v>1625</v>
      </c>
      <c r="AU434" t="s">
        <v>123</v>
      </c>
      <c r="AV434">
        <v>1</v>
      </c>
      <c r="AW434">
        <v>151</v>
      </c>
      <c r="AX434">
        <v>-192</v>
      </c>
      <c r="AZ434">
        <f t="shared" si="66"/>
        <v>1</v>
      </c>
      <c r="BA434">
        <f t="shared" si="67"/>
        <v>22801</v>
      </c>
      <c r="BB434" s="1">
        <f t="shared" si="68"/>
        <v>151.00331122197287</v>
      </c>
      <c r="BJ434">
        <v>1404</v>
      </c>
      <c r="BK434">
        <v>1</v>
      </c>
      <c r="BL434" t="str">
        <f t="shared" si="62"/>
        <v xml:space="preserve">N600C   </v>
      </c>
      <c r="BM434">
        <v>2</v>
      </c>
      <c r="BO434">
        <v>0</v>
      </c>
      <c r="BP434">
        <v>0</v>
      </c>
      <c r="BQ434">
        <v>0</v>
      </c>
      <c r="BR434">
        <v>1825</v>
      </c>
      <c r="BS434">
        <v>200</v>
      </c>
      <c r="BT434" t="s">
        <v>128</v>
      </c>
      <c r="BU434">
        <v>0</v>
      </c>
      <c r="BV434">
        <v>0</v>
      </c>
      <c r="BW434">
        <v>0</v>
      </c>
      <c r="BX434">
        <v>1</v>
      </c>
      <c r="CA434">
        <v>0</v>
      </c>
      <c r="CB434">
        <v>0</v>
      </c>
      <c r="CC434">
        <v>0</v>
      </c>
      <c r="CM434" t="str">
        <f>"17:48:10.051"</f>
        <v>17:48:10.051</v>
      </c>
      <c r="CN434">
        <v>50566810</v>
      </c>
      <c r="CQ434">
        <v>0</v>
      </c>
      <c r="CR434">
        <v>2496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3</v>
      </c>
      <c r="DB434">
        <v>2</v>
      </c>
      <c r="DC434">
        <v>0</v>
      </c>
      <c r="DD434">
        <v>2</v>
      </c>
      <c r="DE434">
        <v>0</v>
      </c>
      <c r="DF434">
        <v>7</v>
      </c>
      <c r="DG434">
        <v>7</v>
      </c>
      <c r="DH434" t="s">
        <v>124</v>
      </c>
      <c r="DI434">
        <v>407</v>
      </c>
      <c r="DJ434">
        <v>3</v>
      </c>
      <c r="DK434" t="s">
        <v>132</v>
      </c>
      <c r="DL434" t="s">
        <v>133</v>
      </c>
      <c r="DO434">
        <v>1709667</v>
      </c>
      <c r="DQ434">
        <v>0</v>
      </c>
      <c r="DR434">
        <v>0</v>
      </c>
      <c r="DS434">
        <v>1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</row>
    <row r="435" spans="1:131" x14ac:dyDescent="0.35">
      <c r="A435" s="2" t="str">
        <f>"17:48:11.397"</f>
        <v>17:48:11.397</v>
      </c>
      <c r="B435" s="4">
        <f t="shared" si="69"/>
        <v>64091.397000000004</v>
      </c>
      <c r="C435" s="4">
        <f t="shared" si="63"/>
        <v>491.39700000000448</v>
      </c>
      <c r="D435" s="3">
        <f t="shared" si="64"/>
        <v>0.74179857638888891</v>
      </c>
      <c r="E435" s="2">
        <f t="shared" si="65"/>
        <v>0.74179857638888891</v>
      </c>
      <c r="G435" t="str">
        <f t="shared" si="60"/>
        <v>FFDFD7C0</v>
      </c>
      <c r="H435" t="s">
        <v>126</v>
      </c>
      <c r="I435">
        <v>8</v>
      </c>
      <c r="J435">
        <v>1008</v>
      </c>
      <c r="K435" t="s">
        <v>129</v>
      </c>
      <c r="N435" t="s">
        <v>127</v>
      </c>
      <c r="O435">
        <v>0</v>
      </c>
      <c r="P435">
        <v>3</v>
      </c>
      <c r="Q435">
        <v>0</v>
      </c>
      <c r="R435">
        <v>2</v>
      </c>
      <c r="S435">
        <v>1</v>
      </c>
      <c r="T435">
        <v>0</v>
      </c>
      <c r="U435">
        <v>0</v>
      </c>
      <c r="W435" t="str">
        <f>"17:48:11.141"</f>
        <v>17:48:11.141</v>
      </c>
      <c r="X435" t="str">
        <f>"17:48:09.141"</f>
        <v>17:48:09.141</v>
      </c>
      <c r="Y435" t="str">
        <f t="shared" si="61"/>
        <v>A7C771</v>
      </c>
      <c r="Z435">
        <v>0</v>
      </c>
      <c r="AA435">
        <v>0</v>
      </c>
      <c r="AB435">
        <v>2</v>
      </c>
      <c r="AC435">
        <v>0</v>
      </c>
      <c r="AE435">
        <v>0</v>
      </c>
      <c r="AF435">
        <v>8</v>
      </c>
      <c r="AG435">
        <v>3</v>
      </c>
      <c r="AH435">
        <v>0</v>
      </c>
      <c r="AI435">
        <v>9</v>
      </c>
      <c r="AJ435" t="s">
        <v>125</v>
      </c>
      <c r="AK435">
        <v>0</v>
      </c>
      <c r="AL435">
        <v>3</v>
      </c>
      <c r="AM435">
        <v>2</v>
      </c>
      <c r="AN435">
        <v>1</v>
      </c>
      <c r="AO435" t="s">
        <v>938</v>
      </c>
      <c r="AP435">
        <v>43.093828999999999</v>
      </c>
      <c r="AQ435" t="s">
        <v>931</v>
      </c>
      <c r="AR435">
        <v>-77.564120000000003</v>
      </c>
      <c r="AS435">
        <v>25</v>
      </c>
      <c r="AT435">
        <v>1625</v>
      </c>
      <c r="AU435" t="s">
        <v>123</v>
      </c>
      <c r="AV435">
        <v>1</v>
      </c>
      <c r="AW435">
        <v>151</v>
      </c>
      <c r="AX435">
        <v>-192</v>
      </c>
      <c r="AZ435">
        <f t="shared" si="66"/>
        <v>1</v>
      </c>
      <c r="BA435">
        <f t="shared" si="67"/>
        <v>22801</v>
      </c>
      <c r="BB435" s="1">
        <f t="shared" si="68"/>
        <v>151.00331122197287</v>
      </c>
      <c r="BJ435">
        <v>1404</v>
      </c>
      <c r="BK435">
        <v>1</v>
      </c>
      <c r="BL435" t="str">
        <f t="shared" si="62"/>
        <v xml:space="preserve">N600C   </v>
      </c>
      <c r="BM435">
        <v>2</v>
      </c>
      <c r="BO435">
        <v>0</v>
      </c>
      <c r="BP435">
        <v>0</v>
      </c>
      <c r="BQ435">
        <v>0</v>
      </c>
      <c r="BR435">
        <v>1825</v>
      </c>
      <c r="BS435">
        <v>200</v>
      </c>
      <c r="BT435" t="s">
        <v>128</v>
      </c>
      <c r="BU435">
        <v>0</v>
      </c>
      <c r="BV435">
        <v>0</v>
      </c>
      <c r="BW435">
        <v>0</v>
      </c>
      <c r="BX435">
        <v>1</v>
      </c>
      <c r="CA435">
        <v>0</v>
      </c>
      <c r="CB435">
        <v>0</v>
      </c>
      <c r="CC435">
        <v>0</v>
      </c>
      <c r="CM435" t="str">
        <f>"17:48:11.147"</f>
        <v>17:48:11.147</v>
      </c>
      <c r="CN435">
        <v>147164166</v>
      </c>
      <c r="CQ435">
        <v>0</v>
      </c>
      <c r="CR435">
        <v>2496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3</v>
      </c>
      <c r="DB435">
        <v>2</v>
      </c>
      <c r="DC435">
        <v>0</v>
      </c>
      <c r="DD435">
        <v>2</v>
      </c>
      <c r="DE435">
        <v>0</v>
      </c>
      <c r="DF435">
        <v>1</v>
      </c>
      <c r="DG435">
        <v>7</v>
      </c>
      <c r="DH435" t="s">
        <v>124</v>
      </c>
      <c r="DI435">
        <v>77</v>
      </c>
      <c r="DJ435">
        <v>2</v>
      </c>
      <c r="DK435" t="s">
        <v>138</v>
      </c>
      <c r="DL435" t="s">
        <v>139</v>
      </c>
      <c r="DO435">
        <v>875829</v>
      </c>
      <c r="DQ435">
        <v>0</v>
      </c>
      <c r="DR435">
        <v>0</v>
      </c>
      <c r="DS435">
        <v>1</v>
      </c>
      <c r="DT435">
        <v>0</v>
      </c>
      <c r="DU435">
        <v>0</v>
      </c>
      <c r="DV435">
        <v>1</v>
      </c>
      <c r="DW435">
        <v>0</v>
      </c>
      <c r="DX435">
        <v>0</v>
      </c>
      <c r="DY435">
        <v>0</v>
      </c>
      <c r="DZ435">
        <v>0</v>
      </c>
      <c r="EA435">
        <v>0</v>
      </c>
    </row>
    <row r="436" spans="1:131" x14ac:dyDescent="0.35">
      <c r="A436" s="2" t="str">
        <f>"17:48:12.397"</f>
        <v>17:48:12.397</v>
      </c>
      <c r="B436" s="4">
        <f t="shared" si="69"/>
        <v>64092.396999999997</v>
      </c>
      <c r="C436" s="4">
        <f t="shared" si="63"/>
        <v>492.39699999999721</v>
      </c>
      <c r="D436" s="3">
        <f t="shared" si="64"/>
        <v>0.74181015046296295</v>
      </c>
      <c r="E436" s="2">
        <f t="shared" si="65"/>
        <v>0.74181015046296295</v>
      </c>
      <c r="G436" t="str">
        <f t="shared" si="60"/>
        <v>FFDFD7C0</v>
      </c>
      <c r="H436" t="s">
        <v>126</v>
      </c>
      <c r="I436">
        <v>8</v>
      </c>
      <c r="J436">
        <v>1008</v>
      </c>
      <c r="K436" t="s">
        <v>129</v>
      </c>
      <c r="N436" t="s">
        <v>127</v>
      </c>
      <c r="O436">
        <v>0</v>
      </c>
      <c r="P436">
        <v>3</v>
      </c>
      <c r="Q436">
        <v>0</v>
      </c>
      <c r="R436">
        <v>2</v>
      </c>
      <c r="S436">
        <v>1</v>
      </c>
      <c r="T436">
        <v>0</v>
      </c>
      <c r="U436">
        <v>0</v>
      </c>
      <c r="W436" t="str">
        <f>"17:48:12.102"</f>
        <v>17:48:12.102</v>
      </c>
      <c r="X436" t="str">
        <f>"17:48:12.102"</f>
        <v>17:48:12.102</v>
      </c>
      <c r="Y436" t="str">
        <f t="shared" si="61"/>
        <v>A7C771</v>
      </c>
      <c r="Z436">
        <v>0</v>
      </c>
      <c r="AA436">
        <v>0</v>
      </c>
      <c r="AB436">
        <v>2</v>
      </c>
      <c r="AC436">
        <v>0</v>
      </c>
      <c r="AE436">
        <v>0</v>
      </c>
      <c r="AF436">
        <v>8</v>
      </c>
      <c r="AG436">
        <v>3</v>
      </c>
      <c r="AH436">
        <v>0</v>
      </c>
      <c r="AI436">
        <v>9</v>
      </c>
      <c r="AJ436" t="s">
        <v>125</v>
      </c>
      <c r="AK436">
        <v>0</v>
      </c>
      <c r="AL436">
        <v>3</v>
      </c>
      <c r="AM436">
        <v>2</v>
      </c>
      <c r="AN436">
        <v>1</v>
      </c>
      <c r="AO436" t="s">
        <v>939</v>
      </c>
      <c r="AP436">
        <v>43.094558999999997</v>
      </c>
      <c r="AQ436" t="s">
        <v>931</v>
      </c>
      <c r="AR436">
        <v>-77.564120000000003</v>
      </c>
      <c r="AS436">
        <v>25</v>
      </c>
      <c r="AT436">
        <v>1600</v>
      </c>
      <c r="AU436" t="s">
        <v>123</v>
      </c>
      <c r="AV436">
        <v>-2</v>
      </c>
      <c r="AW436">
        <v>151</v>
      </c>
      <c r="AX436">
        <v>-192</v>
      </c>
      <c r="AZ436">
        <f t="shared" si="66"/>
        <v>4</v>
      </c>
      <c r="BA436">
        <f t="shared" si="67"/>
        <v>22801</v>
      </c>
      <c r="BB436" s="1">
        <f t="shared" si="68"/>
        <v>151.01324445226649</v>
      </c>
      <c r="BJ436">
        <v>1404</v>
      </c>
      <c r="BK436">
        <v>1</v>
      </c>
      <c r="BL436" t="str">
        <f t="shared" si="62"/>
        <v xml:space="preserve">N600C   </v>
      </c>
      <c r="BM436">
        <v>2</v>
      </c>
      <c r="BO436">
        <v>0</v>
      </c>
      <c r="BP436">
        <v>0</v>
      </c>
      <c r="BQ436">
        <v>0</v>
      </c>
      <c r="BR436">
        <v>1800</v>
      </c>
      <c r="BS436">
        <v>200</v>
      </c>
      <c r="BT436" t="s">
        <v>128</v>
      </c>
      <c r="BU436">
        <v>0</v>
      </c>
      <c r="BV436">
        <v>0</v>
      </c>
      <c r="BW436">
        <v>0</v>
      </c>
      <c r="BX436">
        <v>1</v>
      </c>
      <c r="CA436">
        <v>0</v>
      </c>
      <c r="CB436">
        <v>0</v>
      </c>
      <c r="CC436">
        <v>0</v>
      </c>
      <c r="CM436" t="str">
        <f>"17:48:12.107"</f>
        <v>17:48:12.107</v>
      </c>
      <c r="CN436">
        <v>106969260</v>
      </c>
      <c r="CQ436">
        <v>0</v>
      </c>
      <c r="CR436">
        <v>2496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3</v>
      </c>
      <c r="DB436">
        <v>2</v>
      </c>
      <c r="DC436">
        <v>0</v>
      </c>
      <c r="DD436">
        <v>2</v>
      </c>
      <c r="DE436">
        <v>0</v>
      </c>
      <c r="DF436">
        <v>6</v>
      </c>
      <c r="DG436">
        <v>7</v>
      </c>
      <c r="DH436" t="s">
        <v>124</v>
      </c>
      <c r="DI436">
        <v>71</v>
      </c>
      <c r="DJ436">
        <v>1</v>
      </c>
      <c r="DK436" t="s">
        <v>134</v>
      </c>
      <c r="DL436" t="s">
        <v>135</v>
      </c>
      <c r="DO436">
        <v>11627042</v>
      </c>
      <c r="DQ436">
        <v>0</v>
      </c>
      <c r="DR436">
        <v>0</v>
      </c>
      <c r="DS436">
        <v>1</v>
      </c>
      <c r="DT436">
        <v>0</v>
      </c>
      <c r="DU436">
        <v>0</v>
      </c>
      <c r="DV436">
        <v>1</v>
      </c>
      <c r="DW436">
        <v>0</v>
      </c>
      <c r="DX436">
        <v>0</v>
      </c>
      <c r="DY436">
        <v>0</v>
      </c>
      <c r="DZ436">
        <v>0</v>
      </c>
      <c r="EA436">
        <v>0</v>
      </c>
    </row>
    <row r="437" spans="1:131" x14ac:dyDescent="0.35">
      <c r="A437" s="2" t="str">
        <f>"17:48:13.413"</f>
        <v>17:48:13.413</v>
      </c>
      <c r="B437" s="4">
        <f t="shared" si="69"/>
        <v>64093.412999999993</v>
      </c>
      <c r="C437" s="4">
        <f t="shared" si="63"/>
        <v>493.41299999999319</v>
      </c>
      <c r="D437" s="3">
        <f t="shared" si="64"/>
        <v>0.74182190972222217</v>
      </c>
      <c r="E437" s="2">
        <f t="shared" si="65"/>
        <v>0.74182190972222217</v>
      </c>
      <c r="G437" t="str">
        <f t="shared" si="60"/>
        <v>FFDFD7C0</v>
      </c>
      <c r="H437" t="s">
        <v>126</v>
      </c>
      <c r="I437">
        <v>8</v>
      </c>
      <c r="J437">
        <v>1008</v>
      </c>
      <c r="K437" t="s">
        <v>129</v>
      </c>
      <c r="N437" t="s">
        <v>127</v>
      </c>
      <c r="O437">
        <v>0</v>
      </c>
      <c r="P437">
        <v>3</v>
      </c>
      <c r="Q437">
        <v>0</v>
      </c>
      <c r="R437">
        <v>2</v>
      </c>
      <c r="S437">
        <v>1</v>
      </c>
      <c r="T437">
        <v>0</v>
      </c>
      <c r="U437">
        <v>0</v>
      </c>
      <c r="W437" t="str">
        <f>"17:48:13.094"</f>
        <v>17:48:13.094</v>
      </c>
      <c r="X437" t="str">
        <f>"17:48:12.594"</f>
        <v>17:48:12.594</v>
      </c>
      <c r="Y437" t="str">
        <f t="shared" si="61"/>
        <v>A7C771</v>
      </c>
      <c r="Z437">
        <v>0</v>
      </c>
      <c r="AA437">
        <v>0</v>
      </c>
      <c r="AB437">
        <v>2</v>
      </c>
      <c r="AC437">
        <v>0</v>
      </c>
      <c r="AE437">
        <v>0</v>
      </c>
      <c r="AF437">
        <v>8</v>
      </c>
      <c r="AG437">
        <v>3</v>
      </c>
      <c r="AH437">
        <v>0</v>
      </c>
      <c r="AI437">
        <v>9</v>
      </c>
      <c r="AJ437" t="s">
        <v>125</v>
      </c>
      <c r="AK437">
        <v>0</v>
      </c>
      <c r="AL437">
        <v>3</v>
      </c>
      <c r="AM437">
        <v>2</v>
      </c>
      <c r="AN437">
        <v>1</v>
      </c>
      <c r="AO437" t="s">
        <v>940</v>
      </c>
      <c r="AP437">
        <v>43.095244999999998</v>
      </c>
      <c r="AQ437" t="s">
        <v>931</v>
      </c>
      <c r="AR437">
        <v>-77.564120000000003</v>
      </c>
      <c r="AS437">
        <v>25</v>
      </c>
      <c r="AT437">
        <v>1600</v>
      </c>
      <c r="AU437" t="s">
        <v>123</v>
      </c>
      <c r="AV437">
        <v>-2</v>
      </c>
      <c r="AW437">
        <v>151</v>
      </c>
      <c r="AX437">
        <v>-192</v>
      </c>
      <c r="AZ437">
        <f t="shared" si="66"/>
        <v>4</v>
      </c>
      <c r="BA437">
        <f t="shared" si="67"/>
        <v>22801</v>
      </c>
      <c r="BB437" s="1">
        <f t="shared" si="68"/>
        <v>151.01324445226649</v>
      </c>
      <c r="BJ437">
        <v>1404</v>
      </c>
      <c r="BK437">
        <v>1</v>
      </c>
      <c r="BL437" t="str">
        <f t="shared" si="62"/>
        <v xml:space="preserve">N600C   </v>
      </c>
      <c r="BM437">
        <v>2</v>
      </c>
      <c r="BO437">
        <v>0</v>
      </c>
      <c r="BP437">
        <v>0</v>
      </c>
      <c r="BQ437">
        <v>0</v>
      </c>
      <c r="BR437">
        <v>1800</v>
      </c>
      <c r="BS437">
        <v>200</v>
      </c>
      <c r="BT437" t="s">
        <v>128</v>
      </c>
      <c r="BU437">
        <v>0</v>
      </c>
      <c r="BV437">
        <v>0</v>
      </c>
      <c r="BW437">
        <v>0</v>
      </c>
      <c r="BX437">
        <v>1</v>
      </c>
      <c r="CA437">
        <v>0</v>
      </c>
      <c r="CB437">
        <v>0</v>
      </c>
      <c r="CC437">
        <v>0</v>
      </c>
      <c r="CM437" t="str">
        <f>"17:48:13.099"</f>
        <v>17:48:13.099</v>
      </c>
      <c r="CN437">
        <v>99147400</v>
      </c>
      <c r="CQ437">
        <v>0</v>
      </c>
      <c r="CR437">
        <v>2496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3</v>
      </c>
      <c r="DB437">
        <v>2</v>
      </c>
      <c r="DC437">
        <v>0</v>
      </c>
      <c r="DD437">
        <v>2</v>
      </c>
      <c r="DE437">
        <v>0</v>
      </c>
      <c r="DF437">
        <v>6</v>
      </c>
      <c r="DG437">
        <v>7</v>
      </c>
      <c r="DH437" t="s">
        <v>124</v>
      </c>
      <c r="DI437">
        <v>71</v>
      </c>
      <c r="DJ437">
        <v>1</v>
      </c>
      <c r="DK437" t="s">
        <v>134</v>
      </c>
      <c r="DL437" t="s">
        <v>135</v>
      </c>
      <c r="DO437">
        <v>11627941</v>
      </c>
      <c r="DQ437">
        <v>0</v>
      </c>
      <c r="DR437">
        <v>0</v>
      </c>
      <c r="DS437">
        <v>1</v>
      </c>
      <c r="DT437">
        <v>0</v>
      </c>
      <c r="DU437">
        <v>0</v>
      </c>
      <c r="DV437">
        <v>1</v>
      </c>
      <c r="DW437">
        <v>0</v>
      </c>
      <c r="DX437">
        <v>0</v>
      </c>
      <c r="DY437">
        <v>0</v>
      </c>
      <c r="DZ437">
        <v>0</v>
      </c>
      <c r="EA437">
        <v>0</v>
      </c>
    </row>
    <row r="438" spans="1:131" x14ac:dyDescent="0.35">
      <c r="A438" s="2" t="str">
        <f>"17:48:14.319"</f>
        <v>17:48:14.319</v>
      </c>
      <c r="B438" s="4">
        <f t="shared" si="69"/>
        <v>64094.319000000003</v>
      </c>
      <c r="C438" s="4">
        <f t="shared" si="63"/>
        <v>494.31900000000314</v>
      </c>
      <c r="D438" s="3">
        <f t="shared" si="64"/>
        <v>0.74183239583333338</v>
      </c>
      <c r="E438" s="2">
        <f t="shared" si="65"/>
        <v>0.74183239583333338</v>
      </c>
      <c r="G438" t="str">
        <f t="shared" si="60"/>
        <v>FFDFD7C0</v>
      </c>
      <c r="H438" t="s">
        <v>126</v>
      </c>
      <c r="I438">
        <v>8</v>
      </c>
      <c r="J438">
        <v>1008</v>
      </c>
      <c r="K438" t="s">
        <v>129</v>
      </c>
      <c r="N438" t="s">
        <v>127</v>
      </c>
      <c r="O438">
        <v>0</v>
      </c>
      <c r="P438">
        <v>3</v>
      </c>
      <c r="Q438">
        <v>0</v>
      </c>
      <c r="R438">
        <v>2</v>
      </c>
      <c r="S438">
        <v>1</v>
      </c>
      <c r="T438">
        <v>0</v>
      </c>
      <c r="U438">
        <v>0</v>
      </c>
      <c r="W438" t="str">
        <f>"17:48:14.047"</f>
        <v>17:48:14.047</v>
      </c>
      <c r="X438" t="str">
        <f>"17:48:13.647"</f>
        <v>17:48:13.647</v>
      </c>
      <c r="Y438" t="str">
        <f t="shared" si="61"/>
        <v>A7C771</v>
      </c>
      <c r="Z438">
        <v>0</v>
      </c>
      <c r="AA438">
        <v>0</v>
      </c>
      <c r="AB438">
        <v>2</v>
      </c>
      <c r="AC438">
        <v>0</v>
      </c>
      <c r="AE438">
        <v>0</v>
      </c>
      <c r="AF438">
        <v>8</v>
      </c>
      <c r="AG438">
        <v>3</v>
      </c>
      <c r="AH438">
        <v>0</v>
      </c>
      <c r="AI438">
        <v>9</v>
      </c>
      <c r="AJ438" t="s">
        <v>125</v>
      </c>
      <c r="AK438">
        <v>0</v>
      </c>
      <c r="AL438">
        <v>3</v>
      </c>
      <c r="AM438">
        <v>2</v>
      </c>
      <c r="AN438">
        <v>1</v>
      </c>
      <c r="AO438" t="s">
        <v>941</v>
      </c>
      <c r="AP438">
        <v>43.095868000000003</v>
      </c>
      <c r="AQ438" t="s">
        <v>931</v>
      </c>
      <c r="AR438">
        <v>-77.564120000000003</v>
      </c>
      <c r="AS438">
        <v>25</v>
      </c>
      <c r="AT438">
        <v>1600</v>
      </c>
      <c r="AU438" t="s">
        <v>123</v>
      </c>
      <c r="AV438">
        <v>-3</v>
      </c>
      <c r="AW438">
        <v>151</v>
      </c>
      <c r="AX438">
        <v>-256</v>
      </c>
      <c r="AZ438">
        <f t="shared" si="66"/>
        <v>9</v>
      </c>
      <c r="BA438">
        <f t="shared" si="67"/>
        <v>22801</v>
      </c>
      <c r="BB438" s="1">
        <f t="shared" si="68"/>
        <v>151.02979838429235</v>
      </c>
      <c r="BJ438">
        <v>1404</v>
      </c>
      <c r="BK438">
        <v>1</v>
      </c>
      <c r="BL438" t="str">
        <f t="shared" si="62"/>
        <v xml:space="preserve">N600C   </v>
      </c>
      <c r="BM438">
        <v>2</v>
      </c>
      <c r="BO438">
        <v>0</v>
      </c>
      <c r="BP438">
        <v>0</v>
      </c>
      <c r="BQ438">
        <v>0</v>
      </c>
      <c r="BR438">
        <v>1800</v>
      </c>
      <c r="BS438">
        <v>200</v>
      </c>
      <c r="BT438" t="s">
        <v>128</v>
      </c>
      <c r="BU438">
        <v>0</v>
      </c>
      <c r="BV438">
        <v>0</v>
      </c>
      <c r="BW438">
        <v>0</v>
      </c>
      <c r="BX438">
        <v>1</v>
      </c>
      <c r="CA438">
        <v>0</v>
      </c>
      <c r="CB438">
        <v>0</v>
      </c>
      <c r="CC438">
        <v>0</v>
      </c>
      <c r="CM438" t="str">
        <f>"17:48:14.051"</f>
        <v>17:48:14.051</v>
      </c>
      <c r="CN438">
        <v>51314424</v>
      </c>
      <c r="CQ438">
        <v>0</v>
      </c>
      <c r="CR438">
        <v>2496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3</v>
      </c>
      <c r="DB438">
        <v>2</v>
      </c>
      <c r="DC438">
        <v>0</v>
      </c>
      <c r="DD438">
        <v>2</v>
      </c>
      <c r="DE438">
        <v>0</v>
      </c>
      <c r="DF438">
        <v>7</v>
      </c>
      <c r="DG438">
        <v>7</v>
      </c>
      <c r="DH438" t="s">
        <v>124</v>
      </c>
      <c r="DI438">
        <v>407</v>
      </c>
      <c r="DJ438">
        <v>3</v>
      </c>
      <c r="DK438" t="s">
        <v>132</v>
      </c>
      <c r="DL438" t="s">
        <v>133</v>
      </c>
      <c r="DO438">
        <v>1713770</v>
      </c>
      <c r="DQ438">
        <v>0</v>
      </c>
      <c r="DR438">
        <v>0</v>
      </c>
      <c r="DS438">
        <v>1</v>
      </c>
      <c r="DT438">
        <v>0</v>
      </c>
      <c r="DU438">
        <v>0</v>
      </c>
      <c r="DV438">
        <v>1</v>
      </c>
      <c r="DW438">
        <v>0</v>
      </c>
      <c r="DX438">
        <v>0</v>
      </c>
      <c r="DY438">
        <v>0</v>
      </c>
      <c r="DZ438">
        <v>0</v>
      </c>
      <c r="EA438">
        <v>0</v>
      </c>
    </row>
    <row r="439" spans="1:131" x14ac:dyDescent="0.35">
      <c r="A439" s="2" t="str">
        <f>"17:48:15.288"</f>
        <v>17:48:15.288</v>
      </c>
      <c r="B439" s="4">
        <f t="shared" si="69"/>
        <v>64095.288</v>
      </c>
      <c r="C439" s="4">
        <f t="shared" si="63"/>
        <v>495.28800000000047</v>
      </c>
      <c r="D439" s="3">
        <f t="shared" si="64"/>
        <v>0.74184361111111108</v>
      </c>
      <c r="E439" s="2">
        <f t="shared" si="65"/>
        <v>0.74184361111111108</v>
      </c>
      <c r="G439" t="str">
        <f t="shared" si="60"/>
        <v>FFDFD7C0</v>
      </c>
      <c r="H439" t="s">
        <v>126</v>
      </c>
      <c r="I439">
        <v>8</v>
      </c>
      <c r="J439">
        <v>1008</v>
      </c>
      <c r="K439" t="s">
        <v>129</v>
      </c>
      <c r="N439" t="s">
        <v>127</v>
      </c>
      <c r="O439">
        <v>0</v>
      </c>
      <c r="P439">
        <v>3</v>
      </c>
      <c r="Q439">
        <v>0</v>
      </c>
      <c r="R439">
        <v>2</v>
      </c>
      <c r="S439">
        <v>1</v>
      </c>
      <c r="T439">
        <v>0</v>
      </c>
      <c r="U439">
        <v>0</v>
      </c>
      <c r="W439" t="str">
        <f>"17:48:15.023"</f>
        <v>17:48:15.023</v>
      </c>
      <c r="X439" t="str">
        <f>"17:48:14.723"</f>
        <v>17:48:14.723</v>
      </c>
      <c r="Y439" t="str">
        <f t="shared" si="61"/>
        <v>A7C771</v>
      </c>
      <c r="Z439">
        <v>0</v>
      </c>
      <c r="AA439">
        <v>0</v>
      </c>
      <c r="AB439">
        <v>2</v>
      </c>
      <c r="AC439">
        <v>0</v>
      </c>
      <c r="AE439">
        <v>0</v>
      </c>
      <c r="AF439">
        <v>8</v>
      </c>
      <c r="AG439">
        <v>3</v>
      </c>
      <c r="AH439">
        <v>0</v>
      </c>
      <c r="AI439">
        <v>9</v>
      </c>
      <c r="AJ439" t="s">
        <v>125</v>
      </c>
      <c r="AK439">
        <v>0</v>
      </c>
      <c r="AL439">
        <v>3</v>
      </c>
      <c r="AM439">
        <v>2</v>
      </c>
      <c r="AN439">
        <v>1</v>
      </c>
      <c r="AO439" t="s">
        <v>942</v>
      </c>
      <c r="AP439">
        <v>43.096575999999999</v>
      </c>
      <c r="AQ439" t="s">
        <v>926</v>
      </c>
      <c r="AR439">
        <v>-77.564205999999999</v>
      </c>
      <c r="AS439">
        <v>25</v>
      </c>
      <c r="AT439">
        <v>1600</v>
      </c>
      <c r="AU439" t="s">
        <v>123</v>
      </c>
      <c r="AV439">
        <v>-4</v>
      </c>
      <c r="AW439">
        <v>151</v>
      </c>
      <c r="AX439">
        <v>-128</v>
      </c>
      <c r="AZ439">
        <f t="shared" si="66"/>
        <v>16</v>
      </c>
      <c r="BA439">
        <f t="shared" si="67"/>
        <v>22801</v>
      </c>
      <c r="BB439" s="1">
        <f t="shared" si="68"/>
        <v>151.05297084135751</v>
      </c>
      <c r="BJ439">
        <v>1404</v>
      </c>
      <c r="BK439">
        <v>1</v>
      </c>
      <c r="BL439" t="str">
        <f t="shared" si="62"/>
        <v xml:space="preserve">N600C   </v>
      </c>
      <c r="BM439">
        <v>2</v>
      </c>
      <c r="BO439">
        <v>0</v>
      </c>
      <c r="BP439">
        <v>0</v>
      </c>
      <c r="BQ439">
        <v>0</v>
      </c>
      <c r="BR439">
        <v>1800</v>
      </c>
      <c r="BS439">
        <v>200</v>
      </c>
      <c r="BT439" t="s">
        <v>128</v>
      </c>
      <c r="BU439">
        <v>0</v>
      </c>
      <c r="BV439">
        <v>0</v>
      </c>
      <c r="BW439">
        <v>0</v>
      </c>
      <c r="BX439">
        <v>1</v>
      </c>
      <c r="CA439">
        <v>0</v>
      </c>
      <c r="CB439">
        <v>0</v>
      </c>
      <c r="CC439">
        <v>0</v>
      </c>
      <c r="CM439" t="str">
        <f>"17:48:15.027"</f>
        <v>17:48:15.027</v>
      </c>
      <c r="CN439">
        <v>27495003</v>
      </c>
      <c r="CQ439">
        <v>0</v>
      </c>
      <c r="CR439">
        <v>2496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3</v>
      </c>
      <c r="DB439">
        <v>2</v>
      </c>
      <c r="DC439">
        <v>0</v>
      </c>
      <c r="DD439">
        <v>2</v>
      </c>
      <c r="DE439">
        <v>0</v>
      </c>
      <c r="DF439">
        <v>7</v>
      </c>
      <c r="DG439">
        <v>7</v>
      </c>
      <c r="DH439" t="s">
        <v>124</v>
      </c>
      <c r="DI439">
        <v>407</v>
      </c>
      <c r="DJ439">
        <v>3</v>
      </c>
      <c r="DK439" t="s">
        <v>132</v>
      </c>
      <c r="DL439" t="s">
        <v>133</v>
      </c>
      <c r="DO439">
        <v>1714708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1</v>
      </c>
      <c r="DW439">
        <v>0</v>
      </c>
      <c r="DX439">
        <v>0</v>
      </c>
      <c r="DY439">
        <v>0</v>
      </c>
      <c r="DZ439">
        <v>0</v>
      </c>
      <c r="EA439">
        <v>0</v>
      </c>
    </row>
    <row r="440" spans="1:131" x14ac:dyDescent="0.35">
      <c r="A440" s="2" t="str">
        <f>"17:48:16.397"</f>
        <v>17:48:16.397</v>
      </c>
      <c r="B440" s="4">
        <f t="shared" si="69"/>
        <v>64096.396999999997</v>
      </c>
      <c r="C440" s="4">
        <f t="shared" si="63"/>
        <v>496.39699999999721</v>
      </c>
      <c r="D440" s="3">
        <f t="shared" si="64"/>
        <v>0.74185644675925921</v>
      </c>
      <c r="E440" s="2">
        <f t="shared" si="65"/>
        <v>0.74185644675925921</v>
      </c>
      <c r="G440" t="str">
        <f t="shared" si="60"/>
        <v>FFDFD7C0</v>
      </c>
      <c r="H440" t="s">
        <v>126</v>
      </c>
      <c r="I440">
        <v>8</v>
      </c>
      <c r="J440">
        <v>1008</v>
      </c>
      <c r="K440" t="s">
        <v>129</v>
      </c>
      <c r="N440" t="s">
        <v>127</v>
      </c>
      <c r="O440">
        <v>0</v>
      </c>
      <c r="P440">
        <v>3</v>
      </c>
      <c r="Q440">
        <v>0</v>
      </c>
      <c r="R440">
        <v>2</v>
      </c>
      <c r="S440">
        <v>1</v>
      </c>
      <c r="T440">
        <v>0</v>
      </c>
      <c r="U440">
        <v>0</v>
      </c>
      <c r="W440" t="str">
        <f>"17:48:16.063"</f>
        <v>17:48:16.063</v>
      </c>
      <c r="X440" t="str">
        <f>"17:48:15.863"</f>
        <v>17:48:15.863</v>
      </c>
      <c r="Y440" t="str">
        <f t="shared" si="61"/>
        <v>A7C771</v>
      </c>
      <c r="Z440">
        <v>0</v>
      </c>
      <c r="AA440">
        <v>0</v>
      </c>
      <c r="AB440">
        <v>2</v>
      </c>
      <c r="AC440">
        <v>0</v>
      </c>
      <c r="AE440">
        <v>0</v>
      </c>
      <c r="AF440">
        <v>8</v>
      </c>
      <c r="AG440">
        <v>3</v>
      </c>
      <c r="AH440">
        <v>0</v>
      </c>
      <c r="AI440">
        <v>9</v>
      </c>
      <c r="AJ440" t="s">
        <v>125</v>
      </c>
      <c r="AK440">
        <v>0</v>
      </c>
      <c r="AL440">
        <v>3</v>
      </c>
      <c r="AM440">
        <v>2</v>
      </c>
      <c r="AN440">
        <v>1</v>
      </c>
      <c r="AO440" t="s">
        <v>943</v>
      </c>
      <c r="AP440">
        <v>43.097262000000001</v>
      </c>
      <c r="AQ440" t="s">
        <v>926</v>
      </c>
      <c r="AR440">
        <v>-77.564205999999999</v>
      </c>
      <c r="AS440">
        <v>25</v>
      </c>
      <c r="AT440">
        <v>1600</v>
      </c>
      <c r="AU440" t="s">
        <v>123</v>
      </c>
      <c r="AV440">
        <v>-5</v>
      </c>
      <c r="AW440">
        <v>151</v>
      </c>
      <c r="AX440">
        <v>-128</v>
      </c>
      <c r="AZ440">
        <f t="shared" si="66"/>
        <v>25</v>
      </c>
      <c r="BA440">
        <f t="shared" si="67"/>
        <v>22801</v>
      </c>
      <c r="BB440" s="1">
        <f t="shared" si="68"/>
        <v>151.08275877809487</v>
      </c>
      <c r="BJ440">
        <v>1404</v>
      </c>
      <c r="BK440">
        <v>1</v>
      </c>
      <c r="BL440" t="str">
        <f t="shared" si="62"/>
        <v xml:space="preserve">N600C   </v>
      </c>
      <c r="BM440">
        <v>2</v>
      </c>
      <c r="BO440">
        <v>0</v>
      </c>
      <c r="BP440">
        <v>0</v>
      </c>
      <c r="BQ440">
        <v>0</v>
      </c>
      <c r="BR440">
        <v>1800</v>
      </c>
      <c r="BS440">
        <v>200</v>
      </c>
      <c r="BT440" t="s">
        <v>128</v>
      </c>
      <c r="BU440">
        <v>0</v>
      </c>
      <c r="BV440">
        <v>0</v>
      </c>
      <c r="BW440">
        <v>0</v>
      </c>
      <c r="BX440">
        <v>1</v>
      </c>
      <c r="CA440">
        <v>0</v>
      </c>
      <c r="CB440">
        <v>0</v>
      </c>
      <c r="CC440">
        <v>0</v>
      </c>
      <c r="CM440" t="str">
        <f>"17:48:16.068"</f>
        <v>17:48:16.068</v>
      </c>
      <c r="CN440">
        <v>67680365</v>
      </c>
      <c r="CQ440">
        <v>0</v>
      </c>
      <c r="CR440">
        <v>2496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3</v>
      </c>
      <c r="DB440">
        <v>2</v>
      </c>
      <c r="DC440">
        <v>0</v>
      </c>
      <c r="DD440">
        <v>2</v>
      </c>
      <c r="DE440">
        <v>0</v>
      </c>
      <c r="DF440">
        <v>7</v>
      </c>
      <c r="DG440">
        <v>7</v>
      </c>
      <c r="DH440" t="s">
        <v>124</v>
      </c>
      <c r="DI440">
        <v>407</v>
      </c>
      <c r="DJ440">
        <v>3</v>
      </c>
      <c r="DK440" t="s">
        <v>132</v>
      </c>
      <c r="DL440" t="s">
        <v>133</v>
      </c>
      <c r="DO440">
        <v>1715667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1</v>
      </c>
      <c r="DW440">
        <v>0</v>
      </c>
      <c r="DX440">
        <v>0</v>
      </c>
      <c r="DY440">
        <v>0</v>
      </c>
      <c r="DZ440">
        <v>0</v>
      </c>
      <c r="EA440">
        <v>0</v>
      </c>
    </row>
    <row r="441" spans="1:131" x14ac:dyDescent="0.35">
      <c r="A441" s="2" t="str">
        <f>"17:48:17.507"</f>
        <v>17:48:17.507</v>
      </c>
      <c r="B441" s="4">
        <f t="shared" si="69"/>
        <v>64097.506999999998</v>
      </c>
      <c r="C441" s="4">
        <f t="shared" si="63"/>
        <v>497.50699999999779</v>
      </c>
      <c r="D441" s="3">
        <f t="shared" si="64"/>
        <v>0.74186929398148149</v>
      </c>
      <c r="E441" s="2">
        <f t="shared" si="65"/>
        <v>0.74186929398148149</v>
      </c>
      <c r="G441" t="str">
        <f t="shared" si="60"/>
        <v>FFDFD7C0</v>
      </c>
      <c r="H441" t="s">
        <v>126</v>
      </c>
      <c r="I441">
        <v>8</v>
      </c>
      <c r="J441">
        <v>1008</v>
      </c>
      <c r="K441" t="s">
        <v>129</v>
      </c>
      <c r="N441" t="s">
        <v>127</v>
      </c>
      <c r="O441">
        <v>0</v>
      </c>
      <c r="P441">
        <v>3</v>
      </c>
      <c r="Q441">
        <v>0</v>
      </c>
      <c r="R441">
        <v>2</v>
      </c>
      <c r="S441">
        <v>1</v>
      </c>
      <c r="T441">
        <v>0</v>
      </c>
      <c r="U441">
        <v>0</v>
      </c>
      <c r="W441" t="str">
        <f>"17:48:17.219"</f>
        <v>17:48:17.219</v>
      </c>
      <c r="X441" t="str">
        <f>"17:48:17.219"</f>
        <v>17:48:17.219</v>
      </c>
      <c r="Y441" t="str">
        <f t="shared" si="61"/>
        <v>A7C771</v>
      </c>
      <c r="Z441">
        <v>0</v>
      </c>
      <c r="AA441">
        <v>0</v>
      </c>
      <c r="AB441">
        <v>2</v>
      </c>
      <c r="AC441">
        <v>0</v>
      </c>
      <c r="AE441">
        <v>0</v>
      </c>
      <c r="AF441">
        <v>8</v>
      </c>
      <c r="AG441">
        <v>3</v>
      </c>
      <c r="AH441">
        <v>0</v>
      </c>
      <c r="AI441">
        <v>9</v>
      </c>
      <c r="AJ441" t="s">
        <v>125</v>
      </c>
      <c r="AK441">
        <v>0</v>
      </c>
      <c r="AL441">
        <v>3</v>
      </c>
      <c r="AM441">
        <v>2</v>
      </c>
      <c r="AN441">
        <v>1</v>
      </c>
      <c r="AO441" t="s">
        <v>944</v>
      </c>
      <c r="AP441">
        <v>43.098098999999998</v>
      </c>
      <c r="AQ441" t="s">
        <v>925</v>
      </c>
      <c r="AR441">
        <v>-77.564269999999993</v>
      </c>
      <c r="AS441">
        <v>25</v>
      </c>
      <c r="AT441">
        <v>1600</v>
      </c>
      <c r="AU441" t="s">
        <v>123</v>
      </c>
      <c r="AV441">
        <v>-8</v>
      </c>
      <c r="AW441">
        <v>150</v>
      </c>
      <c r="AX441">
        <v>-128</v>
      </c>
      <c r="AZ441">
        <f t="shared" si="66"/>
        <v>64</v>
      </c>
      <c r="BA441">
        <f t="shared" si="67"/>
        <v>22500</v>
      </c>
      <c r="BB441" s="1">
        <f t="shared" si="68"/>
        <v>150.21318184500319</v>
      </c>
      <c r="BJ441">
        <v>1404</v>
      </c>
      <c r="BK441">
        <v>1</v>
      </c>
      <c r="BL441" t="str">
        <f t="shared" si="62"/>
        <v xml:space="preserve">N600C   </v>
      </c>
      <c r="BM441">
        <v>2</v>
      </c>
      <c r="BO441">
        <v>0</v>
      </c>
      <c r="BP441">
        <v>0</v>
      </c>
      <c r="BQ441">
        <v>0</v>
      </c>
      <c r="BR441">
        <v>1800</v>
      </c>
      <c r="BS441">
        <v>200</v>
      </c>
      <c r="BT441" t="s">
        <v>128</v>
      </c>
      <c r="BU441">
        <v>0</v>
      </c>
      <c r="BV441">
        <v>0</v>
      </c>
      <c r="BW441">
        <v>0</v>
      </c>
      <c r="BX441">
        <v>1</v>
      </c>
      <c r="CA441">
        <v>0</v>
      </c>
      <c r="CB441">
        <v>0</v>
      </c>
      <c r="CC441">
        <v>0</v>
      </c>
      <c r="CM441" t="str">
        <f>"17:48:17.220"</f>
        <v>17:48:17.220</v>
      </c>
      <c r="CN441">
        <v>219889168</v>
      </c>
      <c r="CQ441">
        <v>0</v>
      </c>
      <c r="CR441">
        <v>2496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3</v>
      </c>
      <c r="DB441">
        <v>2</v>
      </c>
      <c r="DC441">
        <v>0</v>
      </c>
      <c r="DD441">
        <v>2</v>
      </c>
      <c r="DE441">
        <v>0</v>
      </c>
      <c r="DF441">
        <v>7</v>
      </c>
      <c r="DG441">
        <v>7</v>
      </c>
      <c r="DH441" t="s">
        <v>124</v>
      </c>
      <c r="DI441">
        <v>407</v>
      </c>
      <c r="DJ441">
        <v>3</v>
      </c>
      <c r="DK441" t="s">
        <v>132</v>
      </c>
      <c r="DL441" t="s">
        <v>133</v>
      </c>
      <c r="DO441">
        <v>1716998</v>
      </c>
      <c r="DQ441">
        <v>0</v>
      </c>
      <c r="DR441">
        <v>0</v>
      </c>
      <c r="DS441">
        <v>1</v>
      </c>
      <c r="DT441">
        <v>0</v>
      </c>
      <c r="DU441">
        <v>0</v>
      </c>
      <c r="DV441">
        <v>1</v>
      </c>
      <c r="DW441">
        <v>0</v>
      </c>
      <c r="DX441">
        <v>0</v>
      </c>
      <c r="DY441">
        <v>0</v>
      </c>
      <c r="DZ441">
        <v>0</v>
      </c>
      <c r="EA441">
        <v>0</v>
      </c>
    </row>
    <row r="442" spans="1:131" x14ac:dyDescent="0.35">
      <c r="A442" s="2" t="str">
        <f>"17:48:18.663"</f>
        <v>17:48:18.663</v>
      </c>
      <c r="B442" s="4">
        <f t="shared" si="69"/>
        <v>64098.663</v>
      </c>
      <c r="C442" s="4">
        <f t="shared" si="63"/>
        <v>498.66300000000047</v>
      </c>
      <c r="D442" s="3">
        <f t="shared" si="64"/>
        <v>0.74188267361111115</v>
      </c>
      <c r="E442" s="2">
        <f t="shared" si="65"/>
        <v>0.74188267361111115</v>
      </c>
      <c r="G442" t="str">
        <f t="shared" si="60"/>
        <v>FFDFD7C0</v>
      </c>
      <c r="H442" t="s">
        <v>126</v>
      </c>
      <c r="I442">
        <v>8</v>
      </c>
      <c r="J442">
        <v>1008</v>
      </c>
      <c r="K442" t="s">
        <v>129</v>
      </c>
      <c r="N442" t="s">
        <v>127</v>
      </c>
      <c r="O442">
        <v>0</v>
      </c>
      <c r="P442">
        <v>3</v>
      </c>
      <c r="Q442">
        <v>0</v>
      </c>
      <c r="R442">
        <v>2</v>
      </c>
      <c r="S442">
        <v>1</v>
      </c>
      <c r="T442">
        <v>0</v>
      </c>
      <c r="U442">
        <v>0</v>
      </c>
      <c r="W442" t="str">
        <f>"17:48:18.313"</f>
        <v>17:48:18.313</v>
      </c>
      <c r="X442" t="str">
        <f>"17:48:18.113"</f>
        <v>17:48:18.113</v>
      </c>
      <c r="Y442" t="str">
        <f t="shared" si="61"/>
        <v>A7C771</v>
      </c>
      <c r="Z442">
        <v>0</v>
      </c>
      <c r="AA442">
        <v>0</v>
      </c>
      <c r="AB442">
        <v>2</v>
      </c>
      <c r="AC442">
        <v>0</v>
      </c>
      <c r="AE442">
        <v>0</v>
      </c>
      <c r="AF442">
        <v>8</v>
      </c>
      <c r="AG442">
        <v>3</v>
      </c>
      <c r="AH442">
        <v>0</v>
      </c>
      <c r="AI442">
        <v>9</v>
      </c>
      <c r="AJ442" t="s">
        <v>125</v>
      </c>
      <c r="AK442">
        <v>0</v>
      </c>
      <c r="AL442">
        <v>3</v>
      </c>
      <c r="AM442">
        <v>2</v>
      </c>
      <c r="AN442">
        <v>1</v>
      </c>
      <c r="AO442" t="s">
        <v>945</v>
      </c>
      <c r="AP442">
        <v>43.098872</v>
      </c>
      <c r="AQ442" t="s">
        <v>946</v>
      </c>
      <c r="AR442">
        <v>-77.564378000000005</v>
      </c>
      <c r="AS442">
        <v>25</v>
      </c>
      <c r="AT442">
        <v>1600</v>
      </c>
      <c r="AU442" t="s">
        <v>123</v>
      </c>
      <c r="AV442">
        <v>-9</v>
      </c>
      <c r="AW442">
        <v>150</v>
      </c>
      <c r="AX442">
        <v>-64</v>
      </c>
      <c r="AZ442">
        <f t="shared" si="66"/>
        <v>81</v>
      </c>
      <c r="BA442">
        <f t="shared" si="67"/>
        <v>22500</v>
      </c>
      <c r="BB442" s="1">
        <f t="shared" si="68"/>
        <v>150.26975743641833</v>
      </c>
      <c r="BJ442">
        <v>1404</v>
      </c>
      <c r="BK442">
        <v>1</v>
      </c>
      <c r="BL442" t="str">
        <f t="shared" si="62"/>
        <v xml:space="preserve">N600C   </v>
      </c>
      <c r="BM442">
        <v>2</v>
      </c>
      <c r="BO442">
        <v>0</v>
      </c>
      <c r="BP442">
        <v>0</v>
      </c>
      <c r="BQ442">
        <v>0</v>
      </c>
      <c r="BR442">
        <v>1800</v>
      </c>
      <c r="BS442">
        <v>200</v>
      </c>
      <c r="BT442" t="s">
        <v>128</v>
      </c>
      <c r="BU442">
        <v>0</v>
      </c>
      <c r="BV442">
        <v>0</v>
      </c>
      <c r="BW442">
        <v>0</v>
      </c>
      <c r="BX442">
        <v>1</v>
      </c>
      <c r="CA442">
        <v>0</v>
      </c>
      <c r="CB442">
        <v>0</v>
      </c>
      <c r="CC442">
        <v>0</v>
      </c>
      <c r="CM442" t="str">
        <f>"17:48:18.316"</f>
        <v>17:48:18.316</v>
      </c>
      <c r="CN442">
        <v>316093015</v>
      </c>
      <c r="CQ442">
        <v>0</v>
      </c>
      <c r="CR442">
        <v>2496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3</v>
      </c>
      <c r="DB442">
        <v>2</v>
      </c>
      <c r="DC442">
        <v>0</v>
      </c>
      <c r="DD442">
        <v>2</v>
      </c>
      <c r="DE442">
        <v>0</v>
      </c>
      <c r="DF442">
        <v>7</v>
      </c>
      <c r="DG442">
        <v>7</v>
      </c>
      <c r="DH442" t="s">
        <v>124</v>
      </c>
      <c r="DI442">
        <v>407</v>
      </c>
      <c r="DJ442">
        <v>3</v>
      </c>
      <c r="DK442" t="s">
        <v>132</v>
      </c>
      <c r="DL442" t="s">
        <v>133</v>
      </c>
      <c r="DO442">
        <v>1718154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1</v>
      </c>
      <c r="DW442">
        <v>0</v>
      </c>
      <c r="DX442">
        <v>0</v>
      </c>
      <c r="DY442">
        <v>0</v>
      </c>
      <c r="DZ442">
        <v>0</v>
      </c>
      <c r="EA442">
        <v>0</v>
      </c>
    </row>
    <row r="443" spans="1:131" x14ac:dyDescent="0.35">
      <c r="A443" s="2" t="str">
        <f>"17:48:19.429"</f>
        <v>17:48:19.429</v>
      </c>
      <c r="B443" s="4">
        <f t="shared" si="69"/>
        <v>64099.428999999996</v>
      </c>
      <c r="C443" s="4">
        <f t="shared" si="63"/>
        <v>499.42899999999645</v>
      </c>
      <c r="D443" s="3">
        <f t="shared" si="64"/>
        <v>0.74189153935185181</v>
      </c>
      <c r="E443" s="2">
        <f t="shared" si="65"/>
        <v>0.74189153935185181</v>
      </c>
      <c r="G443" t="str">
        <f t="shared" si="60"/>
        <v>FFDFD7C0</v>
      </c>
      <c r="H443" t="s">
        <v>126</v>
      </c>
      <c r="I443">
        <v>8</v>
      </c>
      <c r="J443">
        <v>1008</v>
      </c>
      <c r="K443" t="s">
        <v>129</v>
      </c>
      <c r="N443" t="s">
        <v>127</v>
      </c>
      <c r="O443">
        <v>0</v>
      </c>
      <c r="P443">
        <v>3</v>
      </c>
      <c r="Q443">
        <v>0</v>
      </c>
      <c r="R443">
        <v>2</v>
      </c>
      <c r="S443">
        <v>1</v>
      </c>
      <c r="T443">
        <v>0</v>
      </c>
      <c r="U443">
        <v>0</v>
      </c>
      <c r="W443" t="str">
        <f>"17:48:19.219"</f>
        <v>17:48:19.219</v>
      </c>
      <c r="X443" t="str">
        <f>"17:48:19.119"</f>
        <v>17:48:19.119</v>
      </c>
      <c r="Y443" t="str">
        <f t="shared" si="61"/>
        <v>A7C771</v>
      </c>
      <c r="Z443">
        <v>0</v>
      </c>
      <c r="AA443">
        <v>0</v>
      </c>
      <c r="AB443">
        <v>2</v>
      </c>
      <c r="AC443">
        <v>0</v>
      </c>
      <c r="AE443">
        <v>0</v>
      </c>
      <c r="AF443">
        <v>8</v>
      </c>
      <c r="AG443">
        <v>3</v>
      </c>
      <c r="AH443">
        <v>0</v>
      </c>
      <c r="AI443">
        <v>9</v>
      </c>
      <c r="AJ443" t="s">
        <v>125</v>
      </c>
      <c r="AK443">
        <v>0</v>
      </c>
      <c r="AL443">
        <v>3</v>
      </c>
      <c r="AM443">
        <v>2</v>
      </c>
      <c r="AN443">
        <v>1</v>
      </c>
      <c r="AO443" t="s">
        <v>947</v>
      </c>
      <c r="AP443">
        <v>43.099514999999997</v>
      </c>
      <c r="AQ443" t="s">
        <v>948</v>
      </c>
      <c r="AR443">
        <v>-77.564398999999995</v>
      </c>
      <c r="AS443">
        <v>25</v>
      </c>
      <c r="AT443">
        <v>1600</v>
      </c>
      <c r="AU443" t="s">
        <v>123</v>
      </c>
      <c r="AV443">
        <v>-12</v>
      </c>
      <c r="AW443">
        <v>149</v>
      </c>
      <c r="AX443">
        <v>64</v>
      </c>
      <c r="AZ443">
        <f t="shared" si="66"/>
        <v>144</v>
      </c>
      <c r="BA443">
        <f t="shared" si="67"/>
        <v>22201</v>
      </c>
      <c r="BB443" s="1">
        <f t="shared" si="68"/>
        <v>149.4824404403407</v>
      </c>
      <c r="BJ443">
        <v>1404</v>
      </c>
      <c r="BK443">
        <v>1</v>
      </c>
      <c r="BL443" t="str">
        <f t="shared" si="62"/>
        <v xml:space="preserve">N600C   </v>
      </c>
      <c r="BM443">
        <v>2</v>
      </c>
      <c r="BO443">
        <v>0</v>
      </c>
      <c r="BP443">
        <v>0</v>
      </c>
      <c r="BQ443">
        <v>0</v>
      </c>
      <c r="BR443">
        <v>1800</v>
      </c>
      <c r="BS443">
        <v>200</v>
      </c>
      <c r="BT443" t="s">
        <v>128</v>
      </c>
      <c r="BU443">
        <v>0</v>
      </c>
      <c r="BV443">
        <v>0</v>
      </c>
      <c r="BW443">
        <v>0</v>
      </c>
      <c r="BX443">
        <v>1</v>
      </c>
      <c r="CA443">
        <v>0</v>
      </c>
      <c r="CB443">
        <v>0</v>
      </c>
      <c r="CC443">
        <v>0</v>
      </c>
      <c r="CM443" t="str">
        <f>"17:48:19.220"</f>
        <v>17:48:19.220</v>
      </c>
      <c r="CN443">
        <v>220257941</v>
      </c>
      <c r="CQ443">
        <v>0</v>
      </c>
      <c r="CR443">
        <v>2496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3</v>
      </c>
      <c r="DB443">
        <v>2</v>
      </c>
      <c r="DC443">
        <v>0</v>
      </c>
      <c r="DD443">
        <v>2</v>
      </c>
      <c r="DE443">
        <v>0</v>
      </c>
      <c r="DF443">
        <v>7</v>
      </c>
      <c r="DG443">
        <v>7</v>
      </c>
      <c r="DH443" t="s">
        <v>124</v>
      </c>
      <c r="DI443">
        <v>407</v>
      </c>
      <c r="DJ443">
        <v>3</v>
      </c>
      <c r="DK443" t="s">
        <v>132</v>
      </c>
      <c r="DL443" t="s">
        <v>133</v>
      </c>
      <c r="DO443">
        <v>1719046</v>
      </c>
      <c r="DQ443">
        <v>0</v>
      </c>
      <c r="DR443">
        <v>0</v>
      </c>
      <c r="DS443">
        <v>1</v>
      </c>
      <c r="DT443">
        <v>0</v>
      </c>
      <c r="DU443">
        <v>0</v>
      </c>
      <c r="DV443">
        <v>1</v>
      </c>
      <c r="DW443">
        <v>0</v>
      </c>
      <c r="DX443">
        <v>0</v>
      </c>
      <c r="DY443">
        <v>0</v>
      </c>
      <c r="DZ443">
        <v>0</v>
      </c>
      <c r="EA443">
        <v>0</v>
      </c>
    </row>
    <row r="444" spans="1:131" x14ac:dyDescent="0.35">
      <c r="A444" s="2" t="str">
        <f>"17:48:20.367"</f>
        <v>17:48:20.367</v>
      </c>
      <c r="B444" s="4">
        <f t="shared" si="69"/>
        <v>64100.366999999998</v>
      </c>
      <c r="C444" s="4">
        <f t="shared" si="63"/>
        <v>500.36699999999837</v>
      </c>
      <c r="D444" s="3">
        <f t="shared" si="64"/>
        <v>0.74190239583333328</v>
      </c>
      <c r="E444" s="2">
        <f t="shared" si="65"/>
        <v>0.74190239583333328</v>
      </c>
      <c r="G444" t="str">
        <f t="shared" si="60"/>
        <v>FFDFD7C0</v>
      </c>
      <c r="H444" t="s">
        <v>126</v>
      </c>
      <c r="I444">
        <v>8</v>
      </c>
      <c r="J444">
        <v>1008</v>
      </c>
      <c r="K444" t="s">
        <v>129</v>
      </c>
      <c r="N444" t="s">
        <v>127</v>
      </c>
      <c r="O444">
        <v>0</v>
      </c>
      <c r="P444">
        <v>3</v>
      </c>
      <c r="Q444">
        <v>0</v>
      </c>
      <c r="R444">
        <v>2</v>
      </c>
      <c r="S444">
        <v>1</v>
      </c>
      <c r="T444">
        <v>0</v>
      </c>
      <c r="U444">
        <v>0</v>
      </c>
      <c r="W444" t="str">
        <f>"17:48:20.094"</f>
        <v>17:48:20.094</v>
      </c>
      <c r="X444" t="str">
        <f>"17:48:20.094"</f>
        <v>17:48:20.094</v>
      </c>
      <c r="Y444" t="str">
        <f t="shared" si="61"/>
        <v>A7C771</v>
      </c>
      <c r="Z444">
        <v>0</v>
      </c>
      <c r="AA444">
        <v>0</v>
      </c>
      <c r="AB444">
        <v>2</v>
      </c>
      <c r="AC444">
        <v>0</v>
      </c>
      <c r="AE444">
        <v>0</v>
      </c>
      <c r="AF444">
        <v>8</v>
      </c>
      <c r="AG444">
        <v>3</v>
      </c>
      <c r="AH444">
        <v>0</v>
      </c>
      <c r="AI444">
        <v>9</v>
      </c>
      <c r="AJ444" t="s">
        <v>125</v>
      </c>
      <c r="AK444">
        <v>0</v>
      </c>
      <c r="AL444">
        <v>3</v>
      </c>
      <c r="AM444">
        <v>2</v>
      </c>
      <c r="AN444">
        <v>1</v>
      </c>
      <c r="AO444" t="s">
        <v>949</v>
      </c>
      <c r="AP444">
        <v>43.100095000000003</v>
      </c>
      <c r="AQ444" t="s">
        <v>950</v>
      </c>
      <c r="AR444">
        <v>-77.564507000000006</v>
      </c>
      <c r="AS444">
        <v>25</v>
      </c>
      <c r="AT444">
        <v>1600</v>
      </c>
      <c r="AU444" t="s">
        <v>123</v>
      </c>
      <c r="AV444">
        <v>-14</v>
      </c>
      <c r="AW444">
        <v>148</v>
      </c>
      <c r="AX444">
        <v>64</v>
      </c>
      <c r="AZ444">
        <f t="shared" si="66"/>
        <v>196</v>
      </c>
      <c r="BA444">
        <f t="shared" si="67"/>
        <v>21904</v>
      </c>
      <c r="BB444" s="1">
        <f t="shared" si="68"/>
        <v>148.66068747318505</v>
      </c>
      <c r="BJ444">
        <v>1404</v>
      </c>
      <c r="BK444">
        <v>1</v>
      </c>
      <c r="BL444" t="str">
        <f t="shared" si="62"/>
        <v xml:space="preserve">N600C   </v>
      </c>
      <c r="BM444">
        <v>2</v>
      </c>
      <c r="BO444">
        <v>0</v>
      </c>
      <c r="BP444">
        <v>0</v>
      </c>
      <c r="BQ444">
        <v>0</v>
      </c>
      <c r="BR444">
        <v>1800</v>
      </c>
      <c r="BS444">
        <v>200</v>
      </c>
      <c r="BT444" t="s">
        <v>128</v>
      </c>
      <c r="BU444">
        <v>0</v>
      </c>
      <c r="BV444">
        <v>0</v>
      </c>
      <c r="BW444">
        <v>0</v>
      </c>
      <c r="BX444">
        <v>1</v>
      </c>
      <c r="CA444">
        <v>0</v>
      </c>
      <c r="CB444">
        <v>0</v>
      </c>
      <c r="CC444">
        <v>0</v>
      </c>
      <c r="CM444" t="str">
        <f>"17:48:20.100"</f>
        <v>17:48:20.100</v>
      </c>
      <c r="CN444">
        <v>100433440</v>
      </c>
      <c r="CQ444">
        <v>0</v>
      </c>
      <c r="CR444">
        <v>2496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3</v>
      </c>
      <c r="DB444">
        <v>2</v>
      </c>
      <c r="DC444">
        <v>0</v>
      </c>
      <c r="DD444">
        <v>2</v>
      </c>
      <c r="DE444">
        <v>0</v>
      </c>
      <c r="DF444">
        <v>6</v>
      </c>
      <c r="DG444">
        <v>7</v>
      </c>
      <c r="DH444" t="s">
        <v>124</v>
      </c>
      <c r="DI444">
        <v>71</v>
      </c>
      <c r="DJ444">
        <v>1</v>
      </c>
      <c r="DK444" t="s">
        <v>134</v>
      </c>
      <c r="DL444" t="s">
        <v>135</v>
      </c>
      <c r="DO444">
        <v>11633431</v>
      </c>
      <c r="DQ444">
        <v>0</v>
      </c>
      <c r="DR444">
        <v>0</v>
      </c>
      <c r="DS444">
        <v>1</v>
      </c>
      <c r="DT444">
        <v>0</v>
      </c>
      <c r="DU444">
        <v>0</v>
      </c>
      <c r="DV444">
        <v>1</v>
      </c>
      <c r="DW444">
        <v>0</v>
      </c>
      <c r="DX444">
        <v>0</v>
      </c>
      <c r="DY444">
        <v>0</v>
      </c>
      <c r="DZ444">
        <v>0</v>
      </c>
      <c r="EA444">
        <v>0</v>
      </c>
    </row>
    <row r="445" spans="1:131" x14ac:dyDescent="0.35">
      <c r="A445" s="2" t="str">
        <f>"17:48:21.398"</f>
        <v>17:48:21.398</v>
      </c>
      <c r="B445" s="4">
        <f t="shared" si="69"/>
        <v>64101.397999999994</v>
      </c>
      <c r="C445" s="4">
        <f t="shared" si="63"/>
        <v>501.39799999999377</v>
      </c>
      <c r="D445" s="3">
        <f t="shared" si="64"/>
        <v>0.74191432870370366</v>
      </c>
      <c r="E445" s="2">
        <f t="shared" si="65"/>
        <v>0.74191432870370366</v>
      </c>
      <c r="G445" t="str">
        <f t="shared" si="60"/>
        <v>FFDFD7C0</v>
      </c>
      <c r="H445" t="s">
        <v>126</v>
      </c>
      <c r="I445">
        <v>8</v>
      </c>
      <c r="J445">
        <v>1008</v>
      </c>
      <c r="K445" t="s">
        <v>129</v>
      </c>
      <c r="N445" t="s">
        <v>127</v>
      </c>
      <c r="O445">
        <v>0</v>
      </c>
      <c r="P445">
        <v>3</v>
      </c>
      <c r="Q445">
        <v>0</v>
      </c>
      <c r="R445">
        <v>2</v>
      </c>
      <c r="S445">
        <v>1</v>
      </c>
      <c r="T445">
        <v>0</v>
      </c>
      <c r="U445">
        <v>0</v>
      </c>
      <c r="W445" t="str">
        <f>"17:48:21.070"</f>
        <v>17:48:21.070</v>
      </c>
      <c r="X445" t="str">
        <f>"17:48:21.070"</f>
        <v>17:48:21.070</v>
      </c>
      <c r="Y445" t="str">
        <f t="shared" si="61"/>
        <v>A7C771</v>
      </c>
      <c r="Z445">
        <v>0</v>
      </c>
      <c r="AA445">
        <v>0</v>
      </c>
      <c r="AB445">
        <v>2</v>
      </c>
      <c r="AC445">
        <v>0</v>
      </c>
      <c r="AE445">
        <v>0</v>
      </c>
      <c r="AF445">
        <v>8</v>
      </c>
      <c r="AG445">
        <v>3</v>
      </c>
      <c r="AH445">
        <v>0</v>
      </c>
      <c r="AI445">
        <v>9</v>
      </c>
      <c r="AJ445" t="s">
        <v>125</v>
      </c>
      <c r="AK445">
        <v>0</v>
      </c>
      <c r="AL445">
        <v>3</v>
      </c>
      <c r="AM445">
        <v>2</v>
      </c>
      <c r="AN445">
        <v>1</v>
      </c>
      <c r="AO445" t="s">
        <v>951</v>
      </c>
      <c r="AP445">
        <v>43.100717000000003</v>
      </c>
      <c r="AQ445" t="s">
        <v>952</v>
      </c>
      <c r="AR445">
        <v>-77.564592000000005</v>
      </c>
      <c r="AS445">
        <v>25</v>
      </c>
      <c r="AT445">
        <v>1600</v>
      </c>
      <c r="AU445" t="s">
        <v>123</v>
      </c>
      <c r="AV445">
        <v>-14</v>
      </c>
      <c r="AW445">
        <v>148</v>
      </c>
      <c r="AX445">
        <v>64</v>
      </c>
      <c r="AZ445">
        <f t="shared" si="66"/>
        <v>196</v>
      </c>
      <c r="BA445">
        <f t="shared" si="67"/>
        <v>21904</v>
      </c>
      <c r="BB445" s="1">
        <f t="shared" si="68"/>
        <v>148.66068747318505</v>
      </c>
      <c r="BJ445">
        <v>1404</v>
      </c>
      <c r="BK445">
        <v>1</v>
      </c>
      <c r="BL445" t="str">
        <f t="shared" si="62"/>
        <v xml:space="preserve">N600C   </v>
      </c>
      <c r="BM445">
        <v>2</v>
      </c>
      <c r="BO445">
        <v>0</v>
      </c>
      <c r="BP445">
        <v>0</v>
      </c>
      <c r="BQ445">
        <v>0</v>
      </c>
      <c r="BR445">
        <v>1800</v>
      </c>
      <c r="BS445">
        <v>200</v>
      </c>
      <c r="BT445" t="s">
        <v>128</v>
      </c>
      <c r="BU445">
        <v>0</v>
      </c>
      <c r="BV445">
        <v>0</v>
      </c>
      <c r="BW445">
        <v>0</v>
      </c>
      <c r="BX445">
        <v>1</v>
      </c>
      <c r="CA445">
        <v>0</v>
      </c>
      <c r="CB445">
        <v>0</v>
      </c>
      <c r="CC445">
        <v>0</v>
      </c>
      <c r="CM445" t="str">
        <f>"17:48:21.077"</f>
        <v>17:48:21.077</v>
      </c>
      <c r="CN445">
        <v>76597869</v>
      </c>
      <c r="CQ445">
        <v>0</v>
      </c>
      <c r="CR445">
        <v>1792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3</v>
      </c>
      <c r="DB445">
        <v>2</v>
      </c>
      <c r="DC445">
        <v>0</v>
      </c>
      <c r="DD445">
        <v>2</v>
      </c>
      <c r="DE445">
        <v>0</v>
      </c>
      <c r="DF445">
        <v>7</v>
      </c>
      <c r="DG445">
        <v>7</v>
      </c>
      <c r="DH445" t="s">
        <v>124</v>
      </c>
      <c r="DI445">
        <v>407</v>
      </c>
      <c r="DJ445">
        <v>3</v>
      </c>
      <c r="DK445" t="s">
        <v>132</v>
      </c>
      <c r="DL445" t="s">
        <v>133</v>
      </c>
      <c r="DO445">
        <v>1720838</v>
      </c>
      <c r="DQ445">
        <v>0</v>
      </c>
      <c r="DR445">
        <v>0</v>
      </c>
      <c r="DS445">
        <v>1</v>
      </c>
      <c r="DT445">
        <v>0</v>
      </c>
      <c r="DU445">
        <v>0</v>
      </c>
      <c r="DV445">
        <v>1</v>
      </c>
      <c r="DW445">
        <v>0</v>
      </c>
      <c r="DX445">
        <v>0</v>
      </c>
      <c r="DY445">
        <v>0</v>
      </c>
      <c r="DZ445">
        <v>0</v>
      </c>
      <c r="EA445">
        <v>0</v>
      </c>
    </row>
    <row r="446" spans="1:131" x14ac:dyDescent="0.35">
      <c r="A446" s="2" t="str">
        <f>"17:48:22.289"</f>
        <v>17:48:22.289</v>
      </c>
      <c r="B446" s="4">
        <f t="shared" si="69"/>
        <v>64102.289000000004</v>
      </c>
      <c r="C446" s="4">
        <f t="shared" si="63"/>
        <v>502.28900000000431</v>
      </c>
      <c r="D446" s="3">
        <f t="shared" si="64"/>
        <v>0.74192464120370372</v>
      </c>
      <c r="E446" s="2">
        <f t="shared" si="65"/>
        <v>0.74192464120370372</v>
      </c>
      <c r="G446" t="str">
        <f t="shared" si="60"/>
        <v>FFDFD7C0</v>
      </c>
      <c r="H446" t="s">
        <v>126</v>
      </c>
      <c r="I446">
        <v>8</v>
      </c>
      <c r="J446">
        <v>1008</v>
      </c>
      <c r="K446" t="s">
        <v>129</v>
      </c>
      <c r="N446" t="s">
        <v>127</v>
      </c>
      <c r="O446">
        <v>0</v>
      </c>
      <c r="P446">
        <v>3</v>
      </c>
      <c r="Q446">
        <v>0</v>
      </c>
      <c r="R446">
        <v>2</v>
      </c>
      <c r="S446">
        <v>1</v>
      </c>
      <c r="T446">
        <v>0</v>
      </c>
      <c r="U446">
        <v>0</v>
      </c>
      <c r="W446" t="str">
        <f>"17:48:22.031"</f>
        <v>17:48:22.031</v>
      </c>
      <c r="X446" t="str">
        <f>"17:48:22.031"</f>
        <v>17:48:22.031</v>
      </c>
      <c r="Y446" t="str">
        <f t="shared" si="61"/>
        <v>A7C771</v>
      </c>
      <c r="Z446">
        <v>0</v>
      </c>
      <c r="AA446">
        <v>0</v>
      </c>
      <c r="AB446">
        <v>2</v>
      </c>
      <c r="AC446">
        <v>0</v>
      </c>
      <c r="AE446">
        <v>0</v>
      </c>
      <c r="AF446">
        <v>8</v>
      </c>
      <c r="AG446">
        <v>3</v>
      </c>
      <c r="AH446">
        <v>0</v>
      </c>
      <c r="AI446">
        <v>9</v>
      </c>
      <c r="AJ446" t="s">
        <v>125</v>
      </c>
      <c r="AK446">
        <v>0</v>
      </c>
      <c r="AL446">
        <v>3</v>
      </c>
      <c r="AM446">
        <v>2</v>
      </c>
      <c r="AN446">
        <v>1</v>
      </c>
      <c r="AO446" t="s">
        <v>953</v>
      </c>
      <c r="AP446">
        <v>43.101404000000002</v>
      </c>
      <c r="AQ446" t="s">
        <v>915</v>
      </c>
      <c r="AR446">
        <v>-77.564656999999997</v>
      </c>
      <c r="AS446">
        <v>25</v>
      </c>
      <c r="AT446">
        <v>1600</v>
      </c>
      <c r="AU446" t="s">
        <v>123</v>
      </c>
      <c r="AV446">
        <v>-15</v>
      </c>
      <c r="AW446">
        <v>148</v>
      </c>
      <c r="AX446">
        <v>64</v>
      </c>
      <c r="AZ446">
        <f t="shared" si="66"/>
        <v>225</v>
      </c>
      <c r="BA446">
        <f t="shared" si="67"/>
        <v>21904</v>
      </c>
      <c r="BB446" s="1">
        <f t="shared" si="68"/>
        <v>148.75819305167698</v>
      </c>
      <c r="BJ446">
        <v>1404</v>
      </c>
      <c r="BK446">
        <v>1</v>
      </c>
      <c r="BL446" t="str">
        <f t="shared" si="62"/>
        <v xml:space="preserve">N600C   </v>
      </c>
      <c r="BM446">
        <v>2</v>
      </c>
      <c r="BO446">
        <v>0</v>
      </c>
      <c r="BP446">
        <v>0</v>
      </c>
      <c r="BQ446">
        <v>0</v>
      </c>
      <c r="BR446">
        <v>1800</v>
      </c>
      <c r="BS446">
        <v>200</v>
      </c>
      <c r="BT446" t="s">
        <v>128</v>
      </c>
      <c r="BU446">
        <v>0</v>
      </c>
      <c r="BV446">
        <v>0</v>
      </c>
      <c r="BW446">
        <v>0</v>
      </c>
      <c r="BX446">
        <v>1</v>
      </c>
      <c r="CA446">
        <v>0</v>
      </c>
      <c r="CB446">
        <v>0</v>
      </c>
      <c r="CC446">
        <v>0</v>
      </c>
      <c r="CM446" t="str">
        <f>"17:48:22.037"</f>
        <v>17:48:22.037</v>
      </c>
      <c r="CN446">
        <v>36800409</v>
      </c>
      <c r="CQ446">
        <v>0</v>
      </c>
      <c r="CR446">
        <v>2016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3</v>
      </c>
      <c r="DB446">
        <v>2</v>
      </c>
      <c r="DC446">
        <v>0</v>
      </c>
      <c r="DD446">
        <v>2</v>
      </c>
      <c r="DE446">
        <v>0</v>
      </c>
      <c r="DF446">
        <v>6</v>
      </c>
      <c r="DG446">
        <v>7</v>
      </c>
      <c r="DH446" t="s">
        <v>124</v>
      </c>
      <c r="DI446">
        <v>71</v>
      </c>
      <c r="DJ446">
        <v>1</v>
      </c>
      <c r="DK446" t="s">
        <v>134</v>
      </c>
      <c r="DL446" t="s">
        <v>135</v>
      </c>
      <c r="DO446">
        <v>11635100</v>
      </c>
      <c r="DQ446">
        <v>0</v>
      </c>
      <c r="DR446">
        <v>0</v>
      </c>
      <c r="DS446">
        <v>1</v>
      </c>
      <c r="DT446">
        <v>0</v>
      </c>
      <c r="DU446">
        <v>0</v>
      </c>
      <c r="DV446">
        <v>1</v>
      </c>
      <c r="DW446">
        <v>0</v>
      </c>
      <c r="DX446">
        <v>0</v>
      </c>
      <c r="DY446">
        <v>0</v>
      </c>
      <c r="DZ446">
        <v>0</v>
      </c>
      <c r="EA446">
        <v>0</v>
      </c>
    </row>
    <row r="447" spans="1:131" x14ac:dyDescent="0.35">
      <c r="A447" s="2" t="str">
        <f>"17:48:23.367"</f>
        <v>17:48:23.367</v>
      </c>
      <c r="B447" s="4">
        <f t="shared" si="69"/>
        <v>64103.366999999998</v>
      </c>
      <c r="C447" s="4">
        <f t="shared" si="63"/>
        <v>503.36699999999837</v>
      </c>
      <c r="D447" s="3">
        <f t="shared" si="64"/>
        <v>0.74193711805555551</v>
      </c>
      <c r="E447" s="2">
        <f t="shared" si="65"/>
        <v>0.74193711805555551</v>
      </c>
      <c r="G447" t="str">
        <f t="shared" si="60"/>
        <v>FFDFD7C0</v>
      </c>
      <c r="H447" t="s">
        <v>126</v>
      </c>
      <c r="I447">
        <v>8</v>
      </c>
      <c r="J447">
        <v>1008</v>
      </c>
      <c r="K447" t="s">
        <v>129</v>
      </c>
      <c r="N447" t="s">
        <v>127</v>
      </c>
      <c r="O447">
        <v>0</v>
      </c>
      <c r="P447">
        <v>3</v>
      </c>
      <c r="Q447">
        <v>0</v>
      </c>
      <c r="R447">
        <v>2</v>
      </c>
      <c r="S447">
        <v>1</v>
      </c>
      <c r="T447">
        <v>0</v>
      </c>
      <c r="U447">
        <v>0</v>
      </c>
      <c r="W447" t="str">
        <f>"17:48:23.070"</f>
        <v>17:48:23.070</v>
      </c>
      <c r="X447" t="str">
        <f>"17:48:22.670"</f>
        <v>17:48:22.670</v>
      </c>
      <c r="Y447" t="str">
        <f t="shared" si="61"/>
        <v>A7C771</v>
      </c>
      <c r="Z447">
        <v>0</v>
      </c>
      <c r="AA447">
        <v>0</v>
      </c>
      <c r="AB447">
        <v>2</v>
      </c>
      <c r="AC447">
        <v>0</v>
      </c>
      <c r="AE447">
        <v>0</v>
      </c>
      <c r="AF447">
        <v>8</v>
      </c>
      <c r="AG447">
        <v>3</v>
      </c>
      <c r="AH447">
        <v>0</v>
      </c>
      <c r="AI447">
        <v>9</v>
      </c>
      <c r="AJ447" t="s">
        <v>125</v>
      </c>
      <c r="AK447">
        <v>0</v>
      </c>
      <c r="AL447">
        <v>3</v>
      </c>
      <c r="AM447">
        <v>2</v>
      </c>
      <c r="AN447">
        <v>1</v>
      </c>
      <c r="AO447" t="s">
        <v>954</v>
      </c>
      <c r="AP447">
        <v>43.102069</v>
      </c>
      <c r="AQ447" t="s">
        <v>955</v>
      </c>
      <c r="AR447">
        <v>-77.564785000000001</v>
      </c>
      <c r="AS447">
        <v>25</v>
      </c>
      <c r="AT447">
        <v>1600</v>
      </c>
      <c r="AU447" t="s">
        <v>123</v>
      </c>
      <c r="AV447">
        <v>-17</v>
      </c>
      <c r="AW447">
        <v>147</v>
      </c>
      <c r="AX447">
        <v>192</v>
      </c>
      <c r="AZ447">
        <f t="shared" si="66"/>
        <v>289</v>
      </c>
      <c r="BA447">
        <f t="shared" si="67"/>
        <v>21609</v>
      </c>
      <c r="BB447" s="1">
        <f t="shared" si="68"/>
        <v>147.97972834141845</v>
      </c>
      <c r="BJ447">
        <v>1404</v>
      </c>
      <c r="BK447">
        <v>1</v>
      </c>
      <c r="BL447" t="str">
        <f t="shared" si="62"/>
        <v xml:space="preserve">N600C   </v>
      </c>
      <c r="BM447">
        <v>2</v>
      </c>
      <c r="BO447">
        <v>0</v>
      </c>
      <c r="BP447">
        <v>0</v>
      </c>
      <c r="BQ447">
        <v>0</v>
      </c>
      <c r="BR447">
        <v>1800</v>
      </c>
      <c r="BS447">
        <v>200</v>
      </c>
      <c r="BT447" t="s">
        <v>128</v>
      </c>
      <c r="BU447">
        <v>0</v>
      </c>
      <c r="BV447">
        <v>0</v>
      </c>
      <c r="BW447">
        <v>0</v>
      </c>
      <c r="BX447">
        <v>1</v>
      </c>
      <c r="CA447">
        <v>0</v>
      </c>
      <c r="CB447">
        <v>0</v>
      </c>
      <c r="CC447">
        <v>0</v>
      </c>
      <c r="CM447" t="str">
        <f>"17:48:23.077"</f>
        <v>17:48:23.077</v>
      </c>
      <c r="CN447">
        <v>76973868</v>
      </c>
      <c r="CQ447">
        <v>0</v>
      </c>
      <c r="CR447">
        <v>2016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3</v>
      </c>
      <c r="DB447">
        <v>2</v>
      </c>
      <c r="DC447">
        <v>0</v>
      </c>
      <c r="DD447">
        <v>2</v>
      </c>
      <c r="DE447">
        <v>0</v>
      </c>
      <c r="DF447">
        <v>7</v>
      </c>
      <c r="DG447">
        <v>7</v>
      </c>
      <c r="DH447" t="s">
        <v>124</v>
      </c>
      <c r="DI447">
        <v>407</v>
      </c>
      <c r="DJ447">
        <v>3</v>
      </c>
      <c r="DK447" t="s">
        <v>132</v>
      </c>
      <c r="DL447" t="s">
        <v>133</v>
      </c>
      <c r="DO447">
        <v>1723112</v>
      </c>
      <c r="DQ447">
        <v>0</v>
      </c>
      <c r="DR447">
        <v>0</v>
      </c>
      <c r="DS447">
        <v>1</v>
      </c>
      <c r="DT447">
        <v>0</v>
      </c>
      <c r="DU447">
        <v>0</v>
      </c>
      <c r="DV447">
        <v>1</v>
      </c>
      <c r="DW447">
        <v>0</v>
      </c>
      <c r="DX447">
        <v>0</v>
      </c>
      <c r="DY447">
        <v>0</v>
      </c>
      <c r="DZ447">
        <v>0</v>
      </c>
      <c r="EA447">
        <v>0</v>
      </c>
    </row>
    <row r="448" spans="1:131" x14ac:dyDescent="0.35">
      <c r="A448" s="2" t="str">
        <f>"17:48:24.257"</f>
        <v>17:48:24.257</v>
      </c>
      <c r="B448" s="4">
        <f t="shared" si="69"/>
        <v>64104.256999999998</v>
      </c>
      <c r="C448" s="4">
        <f t="shared" si="63"/>
        <v>504.25699999999779</v>
      </c>
      <c r="D448" s="3">
        <f t="shared" si="64"/>
        <v>0.74194741898148142</v>
      </c>
      <c r="E448" s="2">
        <f t="shared" si="65"/>
        <v>0.74194741898148142</v>
      </c>
      <c r="G448" t="str">
        <f t="shared" si="60"/>
        <v>FFDFD7C0</v>
      </c>
      <c r="H448" t="s">
        <v>126</v>
      </c>
      <c r="I448">
        <v>8</v>
      </c>
      <c r="J448">
        <v>1008</v>
      </c>
      <c r="K448" t="s">
        <v>129</v>
      </c>
      <c r="N448" t="s">
        <v>127</v>
      </c>
      <c r="O448">
        <v>0</v>
      </c>
      <c r="P448">
        <v>3</v>
      </c>
      <c r="Q448">
        <v>0</v>
      </c>
      <c r="R448">
        <v>2</v>
      </c>
      <c r="S448">
        <v>1</v>
      </c>
      <c r="T448">
        <v>0</v>
      </c>
      <c r="U448">
        <v>0</v>
      </c>
      <c r="W448" t="str">
        <f>"17:48:23.961"</f>
        <v>17:48:23.961</v>
      </c>
      <c r="X448" t="str">
        <f>"17:48:23.761"</f>
        <v>17:48:23.761</v>
      </c>
      <c r="Y448" t="str">
        <f t="shared" si="61"/>
        <v>A7C771</v>
      </c>
      <c r="Z448">
        <v>0</v>
      </c>
      <c r="AA448">
        <v>0</v>
      </c>
      <c r="AB448">
        <v>2</v>
      </c>
      <c r="AC448">
        <v>0</v>
      </c>
      <c r="AE448">
        <v>0</v>
      </c>
      <c r="AF448">
        <v>8</v>
      </c>
      <c r="AG448">
        <v>3</v>
      </c>
      <c r="AH448">
        <v>0</v>
      </c>
      <c r="AI448">
        <v>9</v>
      </c>
      <c r="AJ448" t="s">
        <v>125</v>
      </c>
      <c r="AK448">
        <v>0</v>
      </c>
      <c r="AL448">
        <v>3</v>
      </c>
      <c r="AM448">
        <v>2</v>
      </c>
      <c r="AN448">
        <v>1</v>
      </c>
      <c r="AO448" t="s">
        <v>956</v>
      </c>
      <c r="AP448">
        <v>43.102670000000003</v>
      </c>
      <c r="AQ448" t="s">
        <v>900</v>
      </c>
      <c r="AR448">
        <v>-77.564870999999997</v>
      </c>
      <c r="AS448">
        <v>25</v>
      </c>
      <c r="AT448">
        <v>1600</v>
      </c>
      <c r="AU448" t="s">
        <v>123</v>
      </c>
      <c r="AV448">
        <v>-19</v>
      </c>
      <c r="AW448">
        <v>146</v>
      </c>
      <c r="AX448">
        <v>128</v>
      </c>
      <c r="AZ448">
        <f t="shared" si="66"/>
        <v>361</v>
      </c>
      <c r="BA448">
        <f t="shared" si="67"/>
        <v>21316</v>
      </c>
      <c r="BB448" s="1">
        <f t="shared" si="68"/>
        <v>147.23111084278349</v>
      </c>
      <c r="BJ448">
        <v>1404</v>
      </c>
      <c r="BK448">
        <v>1</v>
      </c>
      <c r="BL448" t="str">
        <f t="shared" si="62"/>
        <v xml:space="preserve">N600C   </v>
      </c>
      <c r="BM448">
        <v>2</v>
      </c>
      <c r="BO448">
        <v>0</v>
      </c>
      <c r="BP448">
        <v>0</v>
      </c>
      <c r="BQ448">
        <v>0</v>
      </c>
      <c r="BR448">
        <v>1800</v>
      </c>
      <c r="BS448">
        <v>200</v>
      </c>
      <c r="BT448" t="s">
        <v>128</v>
      </c>
      <c r="BU448">
        <v>0</v>
      </c>
      <c r="BV448">
        <v>0</v>
      </c>
      <c r="BW448">
        <v>0</v>
      </c>
      <c r="BX448">
        <v>1</v>
      </c>
      <c r="CA448">
        <v>0</v>
      </c>
      <c r="CB448">
        <v>0</v>
      </c>
      <c r="CC448">
        <v>0</v>
      </c>
      <c r="CM448" t="str">
        <f>"17:48:23.965"</f>
        <v>17:48:23.965</v>
      </c>
      <c r="CN448">
        <v>965140882</v>
      </c>
      <c r="CQ448">
        <v>0</v>
      </c>
      <c r="CR448">
        <v>2016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3</v>
      </c>
      <c r="DB448">
        <v>2</v>
      </c>
      <c r="DC448">
        <v>0</v>
      </c>
      <c r="DD448">
        <v>2</v>
      </c>
      <c r="DE448">
        <v>0</v>
      </c>
      <c r="DF448">
        <v>6</v>
      </c>
      <c r="DG448">
        <v>7</v>
      </c>
      <c r="DH448" t="s">
        <v>124</v>
      </c>
      <c r="DI448">
        <v>71</v>
      </c>
      <c r="DJ448">
        <v>1</v>
      </c>
      <c r="DK448" t="s">
        <v>134</v>
      </c>
      <c r="DL448" t="s">
        <v>135</v>
      </c>
      <c r="DO448">
        <v>11636608</v>
      </c>
      <c r="DQ448">
        <v>0</v>
      </c>
      <c r="DR448">
        <v>0</v>
      </c>
      <c r="DS448">
        <v>1</v>
      </c>
      <c r="DT448">
        <v>0</v>
      </c>
      <c r="DU448">
        <v>0</v>
      </c>
      <c r="DV448">
        <v>1</v>
      </c>
      <c r="DW448">
        <v>0</v>
      </c>
      <c r="DX448">
        <v>0</v>
      </c>
      <c r="DY448">
        <v>0</v>
      </c>
      <c r="DZ448">
        <v>0</v>
      </c>
      <c r="EA448">
        <v>0</v>
      </c>
    </row>
    <row r="449" spans="1:131" x14ac:dyDescent="0.35">
      <c r="A449" s="2" t="str">
        <f>"17:48:25.272"</f>
        <v>17:48:25.272</v>
      </c>
      <c r="B449" s="4">
        <f t="shared" si="69"/>
        <v>64105.271999999997</v>
      </c>
      <c r="C449" s="4">
        <f t="shared" si="63"/>
        <v>505.27199999999721</v>
      </c>
      <c r="D449" s="3">
        <f t="shared" si="64"/>
        <v>0.74195916666666661</v>
      </c>
      <c r="E449" s="2">
        <f t="shared" si="65"/>
        <v>0.74195916666666661</v>
      </c>
      <c r="G449" t="str">
        <f t="shared" si="60"/>
        <v>FFDFD7C0</v>
      </c>
      <c r="H449" t="s">
        <v>126</v>
      </c>
      <c r="I449">
        <v>8</v>
      </c>
      <c r="J449">
        <v>1008</v>
      </c>
      <c r="K449" t="s">
        <v>129</v>
      </c>
      <c r="N449" t="s">
        <v>127</v>
      </c>
      <c r="O449">
        <v>0</v>
      </c>
      <c r="P449">
        <v>3</v>
      </c>
      <c r="Q449">
        <v>0</v>
      </c>
      <c r="R449">
        <v>2</v>
      </c>
      <c r="S449">
        <v>1</v>
      </c>
      <c r="T449">
        <v>0</v>
      </c>
      <c r="U449">
        <v>0</v>
      </c>
      <c r="W449" t="str">
        <f>"17:48:24.883"</f>
        <v>17:48:24.883</v>
      </c>
      <c r="X449" t="str">
        <f>"17:48:24.883"</f>
        <v>17:48:24.883</v>
      </c>
      <c r="Y449" t="str">
        <f t="shared" si="61"/>
        <v>A7C771</v>
      </c>
      <c r="Z449">
        <v>0</v>
      </c>
      <c r="AA449">
        <v>0</v>
      </c>
      <c r="AB449">
        <v>2</v>
      </c>
      <c r="AC449">
        <v>0</v>
      </c>
      <c r="AE449">
        <v>0</v>
      </c>
      <c r="AF449">
        <v>8</v>
      </c>
      <c r="AG449">
        <v>3</v>
      </c>
      <c r="AH449">
        <v>0</v>
      </c>
      <c r="AI449">
        <v>9</v>
      </c>
      <c r="AJ449" t="s">
        <v>125</v>
      </c>
      <c r="AK449">
        <v>0</v>
      </c>
      <c r="AL449">
        <v>3</v>
      </c>
      <c r="AM449">
        <v>2</v>
      </c>
      <c r="AN449">
        <v>1</v>
      </c>
      <c r="AO449" t="s">
        <v>957</v>
      </c>
      <c r="AP449">
        <v>43.103270999999999</v>
      </c>
      <c r="AQ449" t="s">
        <v>892</v>
      </c>
      <c r="AR449">
        <v>-77.565043000000003</v>
      </c>
      <c r="AS449">
        <v>25</v>
      </c>
      <c r="AT449">
        <v>1600</v>
      </c>
      <c r="AU449" t="s">
        <v>123</v>
      </c>
      <c r="AV449">
        <v>-22</v>
      </c>
      <c r="AW449">
        <v>145</v>
      </c>
      <c r="AX449">
        <v>0</v>
      </c>
      <c r="AZ449">
        <f t="shared" si="66"/>
        <v>484</v>
      </c>
      <c r="BA449">
        <f t="shared" si="67"/>
        <v>21025</v>
      </c>
      <c r="BB449" s="1">
        <f t="shared" si="68"/>
        <v>146.65946952038249</v>
      </c>
      <c r="BJ449">
        <v>1404</v>
      </c>
      <c r="BK449">
        <v>1</v>
      </c>
      <c r="BL449" t="str">
        <f t="shared" si="62"/>
        <v xml:space="preserve">N600C   </v>
      </c>
      <c r="BM449">
        <v>2</v>
      </c>
      <c r="BO449">
        <v>0</v>
      </c>
      <c r="BP449">
        <v>0</v>
      </c>
      <c r="BQ449">
        <v>0</v>
      </c>
      <c r="BR449">
        <v>1800</v>
      </c>
      <c r="BS449">
        <v>200</v>
      </c>
      <c r="BT449" t="s">
        <v>128</v>
      </c>
      <c r="BU449">
        <v>0</v>
      </c>
      <c r="BV449">
        <v>0</v>
      </c>
      <c r="BW449">
        <v>0</v>
      </c>
      <c r="BX449">
        <v>1</v>
      </c>
      <c r="CA449">
        <v>0</v>
      </c>
      <c r="CB449">
        <v>0</v>
      </c>
      <c r="CC449">
        <v>0</v>
      </c>
      <c r="CM449" t="str">
        <f>"17:48:24.885"</f>
        <v>17:48:24.885</v>
      </c>
      <c r="CN449">
        <v>885305627</v>
      </c>
      <c r="CQ449">
        <v>0</v>
      </c>
      <c r="CR449">
        <v>2016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3</v>
      </c>
      <c r="DB449">
        <v>2</v>
      </c>
      <c r="DC449">
        <v>0</v>
      </c>
      <c r="DD449">
        <v>2</v>
      </c>
      <c r="DE449">
        <v>0</v>
      </c>
      <c r="DF449">
        <v>6</v>
      </c>
      <c r="DG449">
        <v>7</v>
      </c>
      <c r="DH449" t="s">
        <v>124</v>
      </c>
      <c r="DI449">
        <v>71</v>
      </c>
      <c r="DJ449">
        <v>0</v>
      </c>
      <c r="DK449" t="s">
        <v>134</v>
      </c>
      <c r="DL449" t="s">
        <v>135</v>
      </c>
      <c r="DO449">
        <v>10269742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1</v>
      </c>
      <c r="DW449">
        <v>0</v>
      </c>
      <c r="DX449">
        <v>0</v>
      </c>
      <c r="DY449">
        <v>0</v>
      </c>
      <c r="DZ449">
        <v>0</v>
      </c>
      <c r="EA449">
        <v>0</v>
      </c>
    </row>
    <row r="450" spans="1:131" x14ac:dyDescent="0.35">
      <c r="A450" s="2" t="str">
        <f>"17:48:26.304"</f>
        <v>17:48:26.304</v>
      </c>
      <c r="B450" s="4">
        <f t="shared" si="69"/>
        <v>64106.303999999989</v>
      </c>
      <c r="C450" s="4">
        <f t="shared" si="63"/>
        <v>506.30399999998917</v>
      </c>
      <c r="D450" s="3">
        <f t="shared" si="64"/>
        <v>0.74197111111111103</v>
      </c>
      <c r="E450" s="2">
        <f t="shared" si="65"/>
        <v>0.74197111111111103</v>
      </c>
      <c r="G450" t="str">
        <f t="shared" si="60"/>
        <v>FFDFD7C0</v>
      </c>
      <c r="H450" t="s">
        <v>126</v>
      </c>
      <c r="I450">
        <v>8</v>
      </c>
      <c r="J450">
        <v>1008</v>
      </c>
      <c r="K450" t="s">
        <v>129</v>
      </c>
      <c r="N450" t="s">
        <v>127</v>
      </c>
      <c r="O450">
        <v>0</v>
      </c>
      <c r="P450">
        <v>3</v>
      </c>
      <c r="Q450">
        <v>0</v>
      </c>
      <c r="R450">
        <v>2</v>
      </c>
      <c r="S450">
        <v>1</v>
      </c>
      <c r="T450">
        <v>0</v>
      </c>
      <c r="U450">
        <v>0</v>
      </c>
      <c r="W450" t="str">
        <f>"17:48:26.063"</f>
        <v>17:48:26.063</v>
      </c>
      <c r="X450" t="str">
        <f>"17:48:25.763"</f>
        <v>17:48:25.763</v>
      </c>
      <c r="Y450" t="str">
        <f t="shared" si="61"/>
        <v>A7C771</v>
      </c>
      <c r="Z450">
        <v>0</v>
      </c>
      <c r="AA450">
        <v>0</v>
      </c>
      <c r="AB450">
        <v>2</v>
      </c>
      <c r="AC450">
        <v>0</v>
      </c>
      <c r="AE450">
        <v>0</v>
      </c>
      <c r="AF450">
        <v>8</v>
      </c>
      <c r="AG450">
        <v>3</v>
      </c>
      <c r="AH450">
        <v>0</v>
      </c>
      <c r="AI450">
        <v>9</v>
      </c>
      <c r="AJ450" t="s">
        <v>125</v>
      </c>
      <c r="AK450">
        <v>0</v>
      </c>
      <c r="AL450">
        <v>3</v>
      </c>
      <c r="AM450">
        <v>2</v>
      </c>
      <c r="AN450">
        <v>1</v>
      </c>
      <c r="AO450" t="s">
        <v>958</v>
      </c>
      <c r="AP450">
        <v>43.104064000000001</v>
      </c>
      <c r="AQ450" t="s">
        <v>869</v>
      </c>
      <c r="AR450">
        <v>-77.565235999999999</v>
      </c>
      <c r="AS450">
        <v>25</v>
      </c>
      <c r="AT450">
        <v>1600</v>
      </c>
      <c r="AU450" t="s">
        <v>123</v>
      </c>
      <c r="AV450">
        <v>-24</v>
      </c>
      <c r="AW450">
        <v>144</v>
      </c>
      <c r="AX450">
        <v>-64</v>
      </c>
      <c r="AZ450">
        <f t="shared" si="66"/>
        <v>576</v>
      </c>
      <c r="BA450">
        <f t="shared" si="67"/>
        <v>20736</v>
      </c>
      <c r="BB450" s="1">
        <f t="shared" si="68"/>
        <v>145.98630072715727</v>
      </c>
      <c r="BJ450">
        <v>1404</v>
      </c>
      <c r="BK450">
        <v>1</v>
      </c>
      <c r="BL450" t="str">
        <f t="shared" si="62"/>
        <v xml:space="preserve">N600C   </v>
      </c>
      <c r="BM450">
        <v>2</v>
      </c>
      <c r="BO450">
        <v>0</v>
      </c>
      <c r="BP450">
        <v>0</v>
      </c>
      <c r="BQ450">
        <v>0</v>
      </c>
      <c r="BR450">
        <v>1800</v>
      </c>
      <c r="BS450">
        <v>200</v>
      </c>
      <c r="BT450" t="s">
        <v>128</v>
      </c>
      <c r="BU450">
        <v>0</v>
      </c>
      <c r="BV450">
        <v>0</v>
      </c>
      <c r="BW450">
        <v>0</v>
      </c>
      <c r="BX450">
        <v>1</v>
      </c>
      <c r="CA450">
        <v>0</v>
      </c>
      <c r="CB450">
        <v>0</v>
      </c>
      <c r="CC450">
        <v>0</v>
      </c>
      <c r="CM450" t="str">
        <f>"17:48:26.070"</f>
        <v>17:48:26.070</v>
      </c>
      <c r="CN450">
        <v>69529085</v>
      </c>
      <c r="CQ450">
        <v>0</v>
      </c>
      <c r="CR450">
        <v>2016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3</v>
      </c>
      <c r="DB450">
        <v>2</v>
      </c>
      <c r="DC450">
        <v>0</v>
      </c>
      <c r="DD450">
        <v>2</v>
      </c>
      <c r="DE450">
        <v>0</v>
      </c>
      <c r="DF450">
        <v>6</v>
      </c>
      <c r="DG450">
        <v>7</v>
      </c>
      <c r="DH450" t="s">
        <v>124</v>
      </c>
      <c r="DI450">
        <v>71</v>
      </c>
      <c r="DJ450">
        <v>1</v>
      </c>
      <c r="DK450" t="s">
        <v>134</v>
      </c>
      <c r="DL450" t="s">
        <v>135</v>
      </c>
      <c r="DO450">
        <v>11638215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1</v>
      </c>
      <c r="DW450">
        <v>0</v>
      </c>
      <c r="DX450">
        <v>0</v>
      </c>
      <c r="DY450">
        <v>0</v>
      </c>
      <c r="DZ450">
        <v>0</v>
      </c>
      <c r="EA450">
        <v>0</v>
      </c>
    </row>
    <row r="451" spans="1:131" x14ac:dyDescent="0.35">
      <c r="A451" s="2" t="str">
        <f>"17:48:27.444"</f>
        <v>17:48:27.444</v>
      </c>
      <c r="B451" s="4">
        <f t="shared" si="69"/>
        <v>64107.444000000003</v>
      </c>
      <c r="C451" s="4">
        <f t="shared" si="63"/>
        <v>507.44400000000314</v>
      </c>
      <c r="D451" s="3">
        <f t="shared" si="64"/>
        <v>0.74198430555555561</v>
      </c>
      <c r="E451" s="2">
        <f t="shared" si="65"/>
        <v>0.74198430555555561</v>
      </c>
      <c r="G451" t="str">
        <f t="shared" ref="G451:G514" si="70">"FFDFD7C0"</f>
        <v>FFDFD7C0</v>
      </c>
      <c r="H451" t="s">
        <v>126</v>
      </c>
      <c r="I451">
        <v>8</v>
      </c>
      <c r="J451">
        <v>1008</v>
      </c>
      <c r="K451" t="s">
        <v>129</v>
      </c>
      <c r="N451" t="s">
        <v>127</v>
      </c>
      <c r="O451">
        <v>0</v>
      </c>
      <c r="P451">
        <v>3</v>
      </c>
      <c r="Q451">
        <v>0</v>
      </c>
      <c r="R451">
        <v>2</v>
      </c>
      <c r="S451">
        <v>1</v>
      </c>
      <c r="T451">
        <v>0</v>
      </c>
      <c r="U451">
        <v>0</v>
      </c>
      <c r="W451" t="str">
        <f>"17:48:27.086"</f>
        <v>17:48:27.086</v>
      </c>
      <c r="X451" t="str">
        <f>"17:48:26.686"</f>
        <v>17:48:26.686</v>
      </c>
      <c r="Y451" t="str">
        <f t="shared" ref="Y451:Y514" si="71">"A7C771"</f>
        <v>A7C771</v>
      </c>
      <c r="Z451">
        <v>0</v>
      </c>
      <c r="AA451">
        <v>0</v>
      </c>
      <c r="AB451">
        <v>2</v>
      </c>
      <c r="AC451">
        <v>0</v>
      </c>
      <c r="AE451">
        <v>0</v>
      </c>
      <c r="AF451">
        <v>8</v>
      </c>
      <c r="AG451">
        <v>3</v>
      </c>
      <c r="AH451">
        <v>0</v>
      </c>
      <c r="AI451">
        <v>9</v>
      </c>
      <c r="AJ451" t="s">
        <v>125</v>
      </c>
      <c r="AK451">
        <v>0</v>
      </c>
      <c r="AL451">
        <v>3</v>
      </c>
      <c r="AM451">
        <v>2</v>
      </c>
      <c r="AN451">
        <v>1</v>
      </c>
      <c r="AO451" t="s">
        <v>959</v>
      </c>
      <c r="AP451">
        <v>43.104708000000002</v>
      </c>
      <c r="AQ451" t="s">
        <v>960</v>
      </c>
      <c r="AR451">
        <v>-77.565428999999995</v>
      </c>
      <c r="AS451">
        <v>25</v>
      </c>
      <c r="AT451">
        <v>1600</v>
      </c>
      <c r="AU451" t="s">
        <v>123</v>
      </c>
      <c r="AV451">
        <v>-28</v>
      </c>
      <c r="AW451">
        <v>143</v>
      </c>
      <c r="AX451">
        <v>0</v>
      </c>
      <c r="AZ451">
        <f t="shared" si="66"/>
        <v>784</v>
      </c>
      <c r="BA451">
        <f t="shared" si="67"/>
        <v>20449</v>
      </c>
      <c r="BB451" s="1">
        <f t="shared" si="68"/>
        <v>145.71547618561317</v>
      </c>
      <c r="BJ451">
        <v>1404</v>
      </c>
      <c r="BK451">
        <v>1</v>
      </c>
      <c r="BL451" t="str">
        <f t="shared" ref="BL451:BL514" si="72">"N600C   "</f>
        <v xml:space="preserve">N600C   </v>
      </c>
      <c r="BM451">
        <v>2</v>
      </c>
      <c r="BO451">
        <v>0</v>
      </c>
      <c r="BP451">
        <v>0</v>
      </c>
      <c r="BQ451">
        <v>0</v>
      </c>
      <c r="BR451">
        <v>1800</v>
      </c>
      <c r="BS451">
        <v>200</v>
      </c>
      <c r="BT451" t="s">
        <v>128</v>
      </c>
      <c r="BU451">
        <v>0</v>
      </c>
      <c r="BV451">
        <v>0</v>
      </c>
      <c r="BW451">
        <v>0</v>
      </c>
      <c r="BX451">
        <v>1</v>
      </c>
      <c r="CA451">
        <v>0</v>
      </c>
      <c r="CB451">
        <v>0</v>
      </c>
      <c r="CC451">
        <v>0</v>
      </c>
      <c r="CM451" t="str">
        <f>"17:48:27.094"</f>
        <v>17:48:27.094</v>
      </c>
      <c r="CN451">
        <v>93724819</v>
      </c>
      <c r="CQ451">
        <v>0</v>
      </c>
      <c r="CR451">
        <v>2016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3</v>
      </c>
      <c r="DB451">
        <v>2</v>
      </c>
      <c r="DC451">
        <v>0</v>
      </c>
      <c r="DD451">
        <v>2</v>
      </c>
      <c r="DE451">
        <v>0</v>
      </c>
      <c r="DF451">
        <v>6</v>
      </c>
      <c r="DG451">
        <v>7</v>
      </c>
      <c r="DH451" t="s">
        <v>124</v>
      </c>
      <c r="DI451">
        <v>71</v>
      </c>
      <c r="DJ451">
        <v>1</v>
      </c>
      <c r="DK451" t="s">
        <v>134</v>
      </c>
      <c r="DL451" t="s">
        <v>135</v>
      </c>
      <c r="DO451">
        <v>11639138</v>
      </c>
      <c r="DQ451">
        <v>0</v>
      </c>
      <c r="DR451">
        <v>0</v>
      </c>
      <c r="DS451">
        <v>1</v>
      </c>
      <c r="DT451">
        <v>0</v>
      </c>
      <c r="DU451">
        <v>0</v>
      </c>
      <c r="DV451">
        <v>1</v>
      </c>
      <c r="DW451">
        <v>0</v>
      </c>
      <c r="DX451">
        <v>0</v>
      </c>
      <c r="DY451">
        <v>0</v>
      </c>
      <c r="DZ451">
        <v>0</v>
      </c>
      <c r="EA451">
        <v>0</v>
      </c>
    </row>
    <row r="452" spans="1:131" x14ac:dyDescent="0.35">
      <c r="A452" s="2" t="str">
        <f>"17:48:28.429"</f>
        <v>17:48:28.429</v>
      </c>
      <c r="B452" s="4">
        <f t="shared" si="69"/>
        <v>64108.428999999996</v>
      </c>
      <c r="C452" s="4">
        <f t="shared" ref="C452:C515" si="73">B452-63600</f>
        <v>508.42899999999645</v>
      </c>
      <c r="D452" s="3">
        <f t="shared" ref="D452:D515" si="74">E452</f>
        <v>0.7419957060185185</v>
      </c>
      <c r="E452" s="2">
        <f t="shared" ref="E452:E515" si="75">TIMEVALUE(A452)</f>
        <v>0.7419957060185185</v>
      </c>
      <c r="G452" t="str">
        <f t="shared" si="70"/>
        <v>FFDFD7C0</v>
      </c>
      <c r="H452" t="s">
        <v>126</v>
      </c>
      <c r="I452">
        <v>8</v>
      </c>
      <c r="J452">
        <v>1008</v>
      </c>
      <c r="K452" t="s">
        <v>129</v>
      </c>
      <c r="N452" t="s">
        <v>127</v>
      </c>
      <c r="O452">
        <v>0</v>
      </c>
      <c r="P452">
        <v>3</v>
      </c>
      <c r="Q452">
        <v>0</v>
      </c>
      <c r="R452">
        <v>2</v>
      </c>
      <c r="S452">
        <v>1</v>
      </c>
      <c r="T452">
        <v>0</v>
      </c>
      <c r="U452">
        <v>0</v>
      </c>
      <c r="W452" t="str">
        <f>"17:48:28.109"</f>
        <v>17:48:28.109</v>
      </c>
      <c r="X452" t="str">
        <f>"17:48:27.809"</f>
        <v>17:48:27.809</v>
      </c>
      <c r="Y452" t="str">
        <f t="shared" si="71"/>
        <v>A7C771</v>
      </c>
      <c r="Z452">
        <v>0</v>
      </c>
      <c r="AA452">
        <v>0</v>
      </c>
      <c r="AB452">
        <v>2</v>
      </c>
      <c r="AC452">
        <v>0</v>
      </c>
      <c r="AE452">
        <v>0</v>
      </c>
      <c r="AF452">
        <v>8</v>
      </c>
      <c r="AG452">
        <v>3</v>
      </c>
      <c r="AH452">
        <v>0</v>
      </c>
      <c r="AI452">
        <v>9</v>
      </c>
      <c r="AJ452" t="s">
        <v>125</v>
      </c>
      <c r="AK452">
        <v>0</v>
      </c>
      <c r="AL452">
        <v>3</v>
      </c>
      <c r="AM452">
        <v>2</v>
      </c>
      <c r="AN452">
        <v>1</v>
      </c>
      <c r="AO452" t="s">
        <v>961</v>
      </c>
      <c r="AP452">
        <v>43.105459000000003</v>
      </c>
      <c r="AQ452" t="s">
        <v>845</v>
      </c>
      <c r="AR452">
        <v>-77.565708000000001</v>
      </c>
      <c r="AS452">
        <v>25</v>
      </c>
      <c r="AT452">
        <v>1600</v>
      </c>
      <c r="AU452" t="s">
        <v>123</v>
      </c>
      <c r="AV452">
        <v>-32</v>
      </c>
      <c r="AW452">
        <v>141</v>
      </c>
      <c r="AX452">
        <v>0</v>
      </c>
      <c r="AZ452">
        <f t="shared" ref="AZ452:AZ515" si="76">(AV452)^2</f>
        <v>1024</v>
      </c>
      <c r="BA452">
        <f t="shared" ref="BA452:BA515" si="77">(AW452)^2</f>
        <v>19881</v>
      </c>
      <c r="BB452" s="1">
        <f t="shared" ref="BB452:BB515" si="78">SQRT(AZ452+BA452)</f>
        <v>144.58561477546789</v>
      </c>
      <c r="BJ452">
        <v>1404</v>
      </c>
      <c r="BK452">
        <v>1</v>
      </c>
      <c r="BL452" t="str">
        <f t="shared" si="72"/>
        <v xml:space="preserve">N600C   </v>
      </c>
      <c r="BM452">
        <v>2</v>
      </c>
      <c r="BO452">
        <v>0</v>
      </c>
      <c r="BP452">
        <v>0</v>
      </c>
      <c r="BQ452">
        <v>0</v>
      </c>
      <c r="BR452">
        <v>1800</v>
      </c>
      <c r="BS452">
        <v>200</v>
      </c>
      <c r="BT452" t="s">
        <v>128</v>
      </c>
      <c r="BU452">
        <v>0</v>
      </c>
      <c r="BV452">
        <v>0</v>
      </c>
      <c r="BW452">
        <v>0</v>
      </c>
      <c r="BX452">
        <v>1</v>
      </c>
      <c r="CA452">
        <v>0</v>
      </c>
      <c r="CB452">
        <v>0</v>
      </c>
      <c r="CC452">
        <v>0</v>
      </c>
      <c r="CM452" t="str">
        <f>"17:48:28.110"</f>
        <v>17:48:28.110</v>
      </c>
      <c r="CN452">
        <v>109909914</v>
      </c>
      <c r="CQ452">
        <v>0</v>
      </c>
      <c r="CR452">
        <v>2016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3</v>
      </c>
      <c r="DB452">
        <v>2</v>
      </c>
      <c r="DC452">
        <v>0</v>
      </c>
      <c r="DD452">
        <v>2</v>
      </c>
      <c r="DE452">
        <v>0</v>
      </c>
      <c r="DF452">
        <v>6</v>
      </c>
      <c r="DG452">
        <v>7</v>
      </c>
      <c r="DH452" t="s">
        <v>124</v>
      </c>
      <c r="DI452">
        <v>407</v>
      </c>
      <c r="DJ452">
        <v>3</v>
      </c>
      <c r="DK452" t="s">
        <v>132</v>
      </c>
      <c r="DL452" t="s">
        <v>133</v>
      </c>
      <c r="DO452">
        <v>1728276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1</v>
      </c>
      <c r="DW452">
        <v>0</v>
      </c>
      <c r="DX452">
        <v>0</v>
      </c>
      <c r="DY452">
        <v>0</v>
      </c>
      <c r="DZ452">
        <v>0</v>
      </c>
      <c r="EA452">
        <v>0</v>
      </c>
    </row>
    <row r="453" spans="1:131" x14ac:dyDescent="0.35">
      <c r="A453" s="2" t="str">
        <f>"17:48:29.319"</f>
        <v>17:48:29.319</v>
      </c>
      <c r="B453" s="4">
        <f t="shared" si="69"/>
        <v>64109.319000000003</v>
      </c>
      <c r="C453" s="4">
        <f t="shared" si="73"/>
        <v>509.31900000000314</v>
      </c>
      <c r="D453" s="3">
        <f t="shared" si="74"/>
        <v>0.74200600694444452</v>
      </c>
      <c r="E453" s="2">
        <f t="shared" si="75"/>
        <v>0.74200600694444452</v>
      </c>
      <c r="G453" t="str">
        <f t="shared" si="70"/>
        <v>FFDFD7C0</v>
      </c>
      <c r="H453" t="s">
        <v>126</v>
      </c>
      <c r="I453">
        <v>8</v>
      </c>
      <c r="J453">
        <v>1008</v>
      </c>
      <c r="K453" t="s">
        <v>129</v>
      </c>
      <c r="N453" t="s">
        <v>127</v>
      </c>
      <c r="O453">
        <v>0</v>
      </c>
      <c r="P453">
        <v>3</v>
      </c>
      <c r="Q453">
        <v>0</v>
      </c>
      <c r="R453">
        <v>2</v>
      </c>
      <c r="S453">
        <v>1</v>
      </c>
      <c r="T453">
        <v>0</v>
      </c>
      <c r="U453">
        <v>0</v>
      </c>
      <c r="W453" t="str">
        <f>"17:48:29.094"</f>
        <v>17:48:29.094</v>
      </c>
      <c r="X453" t="str">
        <f>"17:48:28.294"</f>
        <v>17:48:28.294</v>
      </c>
      <c r="Y453" t="str">
        <f t="shared" si="71"/>
        <v>A7C771</v>
      </c>
      <c r="Z453">
        <v>0</v>
      </c>
      <c r="AA453">
        <v>0</v>
      </c>
      <c r="AB453">
        <v>2</v>
      </c>
      <c r="AC453">
        <v>0</v>
      </c>
      <c r="AE453">
        <v>0</v>
      </c>
      <c r="AF453">
        <v>8</v>
      </c>
      <c r="AG453">
        <v>3</v>
      </c>
      <c r="AH453">
        <v>0</v>
      </c>
      <c r="AI453">
        <v>9</v>
      </c>
      <c r="AJ453" t="s">
        <v>125</v>
      </c>
      <c r="AK453">
        <v>0</v>
      </c>
      <c r="AL453">
        <v>3</v>
      </c>
      <c r="AM453">
        <v>2</v>
      </c>
      <c r="AN453">
        <v>1</v>
      </c>
      <c r="AO453" t="s">
        <v>962</v>
      </c>
      <c r="AP453">
        <v>43.106017000000001</v>
      </c>
      <c r="AQ453" t="s">
        <v>831</v>
      </c>
      <c r="AR453">
        <v>-77.565900999999997</v>
      </c>
      <c r="AS453">
        <v>25</v>
      </c>
      <c r="AT453">
        <v>1600</v>
      </c>
      <c r="AU453" t="s">
        <v>123</v>
      </c>
      <c r="AV453">
        <v>-37</v>
      </c>
      <c r="AW453">
        <v>139</v>
      </c>
      <c r="AX453">
        <v>-128</v>
      </c>
      <c r="AZ453">
        <f t="shared" si="76"/>
        <v>1369</v>
      </c>
      <c r="BA453">
        <f t="shared" si="77"/>
        <v>19321</v>
      </c>
      <c r="BB453" s="1">
        <f t="shared" si="78"/>
        <v>143.84018909887459</v>
      </c>
      <c r="BJ453">
        <v>1404</v>
      </c>
      <c r="BK453">
        <v>1</v>
      </c>
      <c r="BL453" t="str">
        <f t="shared" si="72"/>
        <v xml:space="preserve">N600C   </v>
      </c>
      <c r="BM453">
        <v>2</v>
      </c>
      <c r="BO453">
        <v>0</v>
      </c>
      <c r="BP453">
        <v>0</v>
      </c>
      <c r="BQ453">
        <v>0</v>
      </c>
      <c r="BR453">
        <v>1800</v>
      </c>
      <c r="BS453">
        <v>200</v>
      </c>
      <c r="BT453" t="s">
        <v>128</v>
      </c>
      <c r="BU453">
        <v>0</v>
      </c>
      <c r="BV453">
        <v>0</v>
      </c>
      <c r="BW453">
        <v>0</v>
      </c>
      <c r="BX453">
        <v>1</v>
      </c>
      <c r="CA453">
        <v>0</v>
      </c>
      <c r="CB453">
        <v>0</v>
      </c>
      <c r="CC453">
        <v>0</v>
      </c>
      <c r="CM453" t="str">
        <f>"17:48:29.094"</f>
        <v>17:48:29.094</v>
      </c>
      <c r="CN453">
        <v>94106439</v>
      </c>
      <c r="CQ453">
        <v>0</v>
      </c>
      <c r="CR453">
        <v>2016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3</v>
      </c>
      <c r="DB453">
        <v>2</v>
      </c>
      <c r="DC453">
        <v>0</v>
      </c>
      <c r="DD453">
        <v>2</v>
      </c>
      <c r="DE453">
        <v>0</v>
      </c>
      <c r="DF453">
        <v>6</v>
      </c>
      <c r="DG453">
        <v>7</v>
      </c>
      <c r="DH453" t="s">
        <v>124</v>
      </c>
      <c r="DI453">
        <v>71</v>
      </c>
      <c r="DJ453">
        <v>1</v>
      </c>
      <c r="DK453" t="s">
        <v>134</v>
      </c>
      <c r="DL453" t="s">
        <v>135</v>
      </c>
      <c r="DO453">
        <v>11640603</v>
      </c>
      <c r="DQ453">
        <v>0</v>
      </c>
      <c r="DR453">
        <v>0</v>
      </c>
      <c r="DS453">
        <v>1</v>
      </c>
      <c r="DT453">
        <v>0</v>
      </c>
      <c r="DU453">
        <v>0</v>
      </c>
      <c r="DV453">
        <v>1</v>
      </c>
      <c r="DW453">
        <v>0</v>
      </c>
      <c r="DX453">
        <v>0</v>
      </c>
      <c r="DY453">
        <v>0</v>
      </c>
      <c r="DZ453">
        <v>0</v>
      </c>
      <c r="EA453">
        <v>0</v>
      </c>
    </row>
    <row r="454" spans="1:131" x14ac:dyDescent="0.35">
      <c r="A454" s="2" t="str">
        <f>"17:48:30.225"</f>
        <v>17:48:30.225</v>
      </c>
      <c r="B454" s="4">
        <f t="shared" si="69"/>
        <v>64110.224999999999</v>
      </c>
      <c r="C454" s="4">
        <f t="shared" si="73"/>
        <v>510.22499999999854</v>
      </c>
      <c r="D454" s="3">
        <f t="shared" si="74"/>
        <v>0.7420164930555555</v>
      </c>
      <c r="E454" s="2">
        <f t="shared" si="75"/>
        <v>0.7420164930555555</v>
      </c>
      <c r="G454" t="str">
        <f t="shared" si="70"/>
        <v>FFDFD7C0</v>
      </c>
      <c r="H454" t="s">
        <v>126</v>
      </c>
      <c r="I454">
        <v>8</v>
      </c>
      <c r="J454">
        <v>1008</v>
      </c>
      <c r="K454" t="s">
        <v>129</v>
      </c>
      <c r="N454" t="s">
        <v>127</v>
      </c>
      <c r="O454">
        <v>0</v>
      </c>
      <c r="P454">
        <v>3</v>
      </c>
      <c r="Q454">
        <v>0</v>
      </c>
      <c r="R454">
        <v>2</v>
      </c>
      <c r="S454">
        <v>1</v>
      </c>
      <c r="T454">
        <v>0</v>
      </c>
      <c r="U454">
        <v>0</v>
      </c>
      <c r="W454" t="str">
        <f>"17:48:29.969"</f>
        <v>17:48:29.969</v>
      </c>
      <c r="X454" t="str">
        <f>"17:48:29.869"</f>
        <v>17:48:29.869</v>
      </c>
      <c r="Y454" t="str">
        <f t="shared" si="71"/>
        <v>A7C771</v>
      </c>
      <c r="Z454">
        <v>0</v>
      </c>
      <c r="AA454">
        <v>0</v>
      </c>
      <c r="AB454">
        <v>2</v>
      </c>
      <c r="AC454">
        <v>0</v>
      </c>
      <c r="AE454">
        <v>0</v>
      </c>
      <c r="AF454">
        <v>8</v>
      </c>
      <c r="AG454">
        <v>3</v>
      </c>
      <c r="AH454">
        <v>0</v>
      </c>
      <c r="AI454">
        <v>9</v>
      </c>
      <c r="AJ454" t="s">
        <v>125</v>
      </c>
      <c r="AK454">
        <v>0</v>
      </c>
      <c r="AL454">
        <v>3</v>
      </c>
      <c r="AM454">
        <v>2</v>
      </c>
      <c r="AN454">
        <v>1</v>
      </c>
      <c r="AO454" t="s">
        <v>963</v>
      </c>
      <c r="AP454">
        <v>43.106554000000003</v>
      </c>
      <c r="AQ454" t="s">
        <v>800</v>
      </c>
      <c r="AR454">
        <v>-77.566158999999999</v>
      </c>
      <c r="AS454">
        <v>25</v>
      </c>
      <c r="AT454">
        <v>1600</v>
      </c>
      <c r="AU454" t="s">
        <v>123</v>
      </c>
      <c r="AV454">
        <v>-42</v>
      </c>
      <c r="AW454">
        <v>136</v>
      </c>
      <c r="AX454">
        <v>-128</v>
      </c>
      <c r="AZ454">
        <f t="shared" si="76"/>
        <v>1764</v>
      </c>
      <c r="BA454">
        <f t="shared" si="77"/>
        <v>18496</v>
      </c>
      <c r="BB454" s="1">
        <f t="shared" si="78"/>
        <v>142.33762678926468</v>
      </c>
      <c r="BJ454">
        <v>1404</v>
      </c>
      <c r="BK454">
        <v>1</v>
      </c>
      <c r="BL454" t="str">
        <f t="shared" si="72"/>
        <v xml:space="preserve">N600C   </v>
      </c>
      <c r="BM454">
        <v>2</v>
      </c>
      <c r="BO454">
        <v>0</v>
      </c>
      <c r="BP454">
        <v>0</v>
      </c>
      <c r="BQ454">
        <v>0</v>
      </c>
      <c r="BR454">
        <v>1800</v>
      </c>
      <c r="BS454">
        <v>200</v>
      </c>
      <c r="BT454" t="s">
        <v>128</v>
      </c>
      <c r="BU454">
        <v>0</v>
      </c>
      <c r="BV454">
        <v>0</v>
      </c>
      <c r="BW454">
        <v>0</v>
      </c>
      <c r="BX454">
        <v>1</v>
      </c>
      <c r="CA454">
        <v>0</v>
      </c>
      <c r="CB454">
        <v>0</v>
      </c>
      <c r="CC454">
        <v>0</v>
      </c>
      <c r="CM454" t="str">
        <f>"17:48:29.974"</f>
        <v>17:48:29.974</v>
      </c>
      <c r="CN454">
        <v>974283100</v>
      </c>
      <c r="CQ454">
        <v>0</v>
      </c>
      <c r="CR454">
        <v>2016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3</v>
      </c>
      <c r="DB454">
        <v>2</v>
      </c>
      <c r="DC454">
        <v>0</v>
      </c>
      <c r="DD454">
        <v>2</v>
      </c>
      <c r="DE454">
        <v>0</v>
      </c>
      <c r="DF454">
        <v>6</v>
      </c>
      <c r="DG454">
        <v>7</v>
      </c>
      <c r="DH454" t="s">
        <v>124</v>
      </c>
      <c r="DI454">
        <v>71</v>
      </c>
      <c r="DJ454">
        <v>0</v>
      </c>
      <c r="DK454" t="s">
        <v>134</v>
      </c>
      <c r="DL454" t="s">
        <v>135</v>
      </c>
      <c r="DO454">
        <v>10273400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1</v>
      </c>
      <c r="DW454">
        <v>0</v>
      </c>
      <c r="DX454">
        <v>0</v>
      </c>
      <c r="DY454">
        <v>0</v>
      </c>
      <c r="DZ454">
        <v>0</v>
      </c>
      <c r="EA454">
        <v>0</v>
      </c>
    </row>
    <row r="455" spans="1:131" x14ac:dyDescent="0.35">
      <c r="A455" s="2" t="str">
        <f>"17:48:31.085"</f>
        <v>17:48:31.085</v>
      </c>
      <c r="B455" s="4">
        <f t="shared" ref="B455:B518" si="79">E455*86400</f>
        <v>64111.084999999999</v>
      </c>
      <c r="C455" s="4">
        <f t="shared" si="73"/>
        <v>511.08499999999913</v>
      </c>
      <c r="D455" s="3">
        <f t="shared" si="74"/>
        <v>0.74202644675925922</v>
      </c>
      <c r="E455" s="2">
        <f t="shared" si="75"/>
        <v>0.74202644675925922</v>
      </c>
      <c r="G455" t="str">
        <f t="shared" si="70"/>
        <v>FFDFD7C0</v>
      </c>
      <c r="H455" t="s">
        <v>126</v>
      </c>
      <c r="I455">
        <v>8</v>
      </c>
      <c r="J455">
        <v>1008</v>
      </c>
      <c r="K455" t="s">
        <v>129</v>
      </c>
      <c r="N455" t="s">
        <v>127</v>
      </c>
      <c r="O455">
        <v>0</v>
      </c>
      <c r="P455">
        <v>3</v>
      </c>
      <c r="Q455">
        <v>0</v>
      </c>
      <c r="R455">
        <v>2</v>
      </c>
      <c r="S455">
        <v>1</v>
      </c>
      <c r="T455">
        <v>0</v>
      </c>
      <c r="U455">
        <v>0</v>
      </c>
      <c r="W455" t="str">
        <f>"17:48:30.867"</f>
        <v>17:48:30.867</v>
      </c>
      <c r="X455" t="str">
        <f>"17:48:30.867"</f>
        <v>17:48:30.867</v>
      </c>
      <c r="Y455" t="str">
        <f t="shared" si="71"/>
        <v>A7C771</v>
      </c>
      <c r="Z455">
        <v>0</v>
      </c>
      <c r="AA455">
        <v>0</v>
      </c>
      <c r="AB455">
        <v>2</v>
      </c>
      <c r="AC455">
        <v>0</v>
      </c>
      <c r="AE455">
        <v>0</v>
      </c>
      <c r="AF455">
        <v>8</v>
      </c>
      <c r="AG455">
        <v>3</v>
      </c>
      <c r="AH455">
        <v>0</v>
      </c>
      <c r="AI455">
        <v>9</v>
      </c>
      <c r="AJ455" t="s">
        <v>125</v>
      </c>
      <c r="AK455">
        <v>0</v>
      </c>
      <c r="AL455">
        <v>3</v>
      </c>
      <c r="AM455">
        <v>2</v>
      </c>
      <c r="AN455">
        <v>1</v>
      </c>
      <c r="AO455" t="s">
        <v>964</v>
      </c>
      <c r="AP455">
        <v>43.107132999999997</v>
      </c>
      <c r="AQ455" t="s">
        <v>786</v>
      </c>
      <c r="AR455">
        <v>-77.566416000000004</v>
      </c>
      <c r="AS455">
        <v>25</v>
      </c>
      <c r="AT455">
        <v>1600</v>
      </c>
      <c r="AU455" t="s">
        <v>123</v>
      </c>
      <c r="AV455">
        <v>-47</v>
      </c>
      <c r="AW455">
        <v>134</v>
      </c>
      <c r="AX455">
        <v>-192</v>
      </c>
      <c r="AZ455">
        <f t="shared" si="76"/>
        <v>2209</v>
      </c>
      <c r="BA455">
        <f t="shared" si="77"/>
        <v>17956</v>
      </c>
      <c r="BB455" s="1">
        <f t="shared" si="78"/>
        <v>142.00352108310554</v>
      </c>
      <c r="BJ455">
        <v>1404</v>
      </c>
      <c r="BK455">
        <v>1</v>
      </c>
      <c r="BL455" t="str">
        <f t="shared" si="72"/>
        <v xml:space="preserve">N600C   </v>
      </c>
      <c r="BM455">
        <v>2</v>
      </c>
      <c r="BO455">
        <v>0</v>
      </c>
      <c r="BP455">
        <v>0</v>
      </c>
      <c r="BQ455">
        <v>0</v>
      </c>
      <c r="BR455">
        <v>1800</v>
      </c>
      <c r="BS455">
        <v>200</v>
      </c>
      <c r="BT455" t="s">
        <v>128</v>
      </c>
      <c r="BU455">
        <v>0</v>
      </c>
      <c r="BV455">
        <v>0</v>
      </c>
      <c r="BW455">
        <v>0</v>
      </c>
      <c r="BX455">
        <v>1</v>
      </c>
      <c r="CA455">
        <v>0</v>
      </c>
      <c r="CB455">
        <v>0</v>
      </c>
      <c r="CC455">
        <v>0</v>
      </c>
      <c r="CM455" t="str">
        <f>"17:48:30.870"</f>
        <v>17:48:30.870</v>
      </c>
      <c r="CN455">
        <v>870440818</v>
      </c>
      <c r="CQ455">
        <v>0</v>
      </c>
      <c r="CR455">
        <v>2016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3</v>
      </c>
      <c r="DB455">
        <v>2</v>
      </c>
      <c r="DC455">
        <v>0</v>
      </c>
      <c r="DD455">
        <v>2</v>
      </c>
      <c r="DE455">
        <v>0</v>
      </c>
      <c r="DF455">
        <v>6</v>
      </c>
      <c r="DG455">
        <v>7</v>
      </c>
      <c r="DH455" t="s">
        <v>124</v>
      </c>
      <c r="DI455">
        <v>71</v>
      </c>
      <c r="DJ455">
        <v>0</v>
      </c>
      <c r="DK455" t="s">
        <v>134</v>
      </c>
      <c r="DL455" t="s">
        <v>135</v>
      </c>
      <c r="DO455">
        <v>10274053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1</v>
      </c>
      <c r="DW455">
        <v>0</v>
      </c>
      <c r="DX455">
        <v>0</v>
      </c>
      <c r="DY455">
        <v>0</v>
      </c>
      <c r="DZ455">
        <v>0</v>
      </c>
      <c r="EA455">
        <v>0</v>
      </c>
    </row>
    <row r="456" spans="1:131" x14ac:dyDescent="0.35">
      <c r="A456" s="2" t="str">
        <f>"17:48:32.038"</f>
        <v>17:48:32.038</v>
      </c>
      <c r="B456" s="4">
        <f t="shared" si="79"/>
        <v>64112.038</v>
      </c>
      <c r="C456" s="4">
        <f t="shared" si="73"/>
        <v>512.03800000000047</v>
      </c>
      <c r="D456" s="3">
        <f t="shared" si="74"/>
        <v>0.74203747685185184</v>
      </c>
      <c r="E456" s="2">
        <f t="shared" si="75"/>
        <v>0.74203747685185184</v>
      </c>
      <c r="G456" t="str">
        <f t="shared" si="70"/>
        <v>FFDFD7C0</v>
      </c>
      <c r="H456" t="s">
        <v>126</v>
      </c>
      <c r="I456">
        <v>8</v>
      </c>
      <c r="J456">
        <v>1008</v>
      </c>
      <c r="K456" t="s">
        <v>129</v>
      </c>
      <c r="N456" t="s">
        <v>127</v>
      </c>
      <c r="O456">
        <v>0</v>
      </c>
      <c r="P456">
        <v>3</v>
      </c>
      <c r="Q456">
        <v>0</v>
      </c>
      <c r="R456">
        <v>2</v>
      </c>
      <c r="S456">
        <v>1</v>
      </c>
      <c r="T456">
        <v>0</v>
      </c>
      <c r="U456">
        <v>0</v>
      </c>
      <c r="W456" t="str">
        <f>"17:48:31.758"</f>
        <v>17:48:31.758</v>
      </c>
      <c r="X456" t="str">
        <f>"17:48:31.758"</f>
        <v>17:48:31.758</v>
      </c>
      <c r="Y456" t="str">
        <f t="shared" si="71"/>
        <v>A7C771</v>
      </c>
      <c r="Z456">
        <v>0</v>
      </c>
      <c r="AA456">
        <v>0</v>
      </c>
      <c r="AB456">
        <v>2</v>
      </c>
      <c r="AC456">
        <v>0</v>
      </c>
      <c r="AE456">
        <v>0</v>
      </c>
      <c r="AF456">
        <v>8</v>
      </c>
      <c r="AG456">
        <v>3</v>
      </c>
      <c r="AH456">
        <v>0</v>
      </c>
      <c r="AI456">
        <v>9</v>
      </c>
      <c r="AJ456" t="s">
        <v>125</v>
      </c>
      <c r="AK456">
        <v>0</v>
      </c>
      <c r="AL456">
        <v>3</v>
      </c>
      <c r="AM456">
        <v>2</v>
      </c>
      <c r="AN456">
        <v>1</v>
      </c>
      <c r="AO456" t="s">
        <v>965</v>
      </c>
      <c r="AP456">
        <v>43.107647999999998</v>
      </c>
      <c r="AQ456" t="s">
        <v>773</v>
      </c>
      <c r="AR456">
        <v>-77.566802999999993</v>
      </c>
      <c r="AS456">
        <v>25</v>
      </c>
      <c r="AT456">
        <v>1600</v>
      </c>
      <c r="AU456" t="s">
        <v>123</v>
      </c>
      <c r="AV456">
        <v>-53</v>
      </c>
      <c r="AW456">
        <v>130</v>
      </c>
      <c r="AX456">
        <v>-256</v>
      </c>
      <c r="AZ456">
        <f t="shared" si="76"/>
        <v>2809</v>
      </c>
      <c r="BA456">
        <f t="shared" si="77"/>
        <v>16900</v>
      </c>
      <c r="BB456" s="1">
        <f t="shared" si="78"/>
        <v>140.38874598770374</v>
      </c>
      <c r="BJ456">
        <v>1404</v>
      </c>
      <c r="BK456">
        <v>1</v>
      </c>
      <c r="BL456" t="str">
        <f t="shared" si="72"/>
        <v xml:space="preserve">N600C   </v>
      </c>
      <c r="BM456">
        <v>2</v>
      </c>
      <c r="BO456">
        <v>0</v>
      </c>
      <c r="BP456">
        <v>0</v>
      </c>
      <c r="BQ456">
        <v>0</v>
      </c>
      <c r="BR456">
        <v>1800</v>
      </c>
      <c r="BS456">
        <v>200</v>
      </c>
      <c r="BT456" t="s">
        <v>128</v>
      </c>
      <c r="BU456">
        <v>0</v>
      </c>
      <c r="BV456">
        <v>0</v>
      </c>
      <c r="BW456">
        <v>0</v>
      </c>
      <c r="BX456">
        <v>1</v>
      </c>
      <c r="CA456">
        <v>0</v>
      </c>
      <c r="CB456">
        <v>0</v>
      </c>
      <c r="CC456">
        <v>0</v>
      </c>
      <c r="CM456" t="str">
        <f>"17:48:31.759"</f>
        <v>17:48:31.759</v>
      </c>
      <c r="CN456">
        <v>758613889</v>
      </c>
      <c r="CQ456">
        <v>0</v>
      </c>
      <c r="CR456">
        <v>2016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3</v>
      </c>
      <c r="DB456">
        <v>2</v>
      </c>
      <c r="DC456">
        <v>0</v>
      </c>
      <c r="DD456">
        <v>2</v>
      </c>
      <c r="DE456">
        <v>0</v>
      </c>
      <c r="DF456">
        <v>6</v>
      </c>
      <c r="DG456">
        <v>7</v>
      </c>
      <c r="DH456" t="s">
        <v>124</v>
      </c>
      <c r="DI456">
        <v>71</v>
      </c>
      <c r="DJ456">
        <v>1</v>
      </c>
      <c r="DK456" t="s">
        <v>134</v>
      </c>
      <c r="DL456" t="s">
        <v>135</v>
      </c>
      <c r="DO456">
        <v>11642822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1</v>
      </c>
      <c r="DW456">
        <v>0</v>
      </c>
      <c r="DX456">
        <v>0</v>
      </c>
      <c r="DY456">
        <v>0</v>
      </c>
      <c r="DZ456">
        <v>0</v>
      </c>
      <c r="EA456">
        <v>0</v>
      </c>
    </row>
    <row r="457" spans="1:131" x14ac:dyDescent="0.35">
      <c r="A457" s="2" t="str">
        <f>"17:48:33.069"</f>
        <v>17:48:33.069</v>
      </c>
      <c r="B457" s="4">
        <f t="shared" si="79"/>
        <v>64113.069000000003</v>
      </c>
      <c r="C457" s="4">
        <f t="shared" si="73"/>
        <v>513.06900000000314</v>
      </c>
      <c r="D457" s="3">
        <f t="shared" si="74"/>
        <v>0.74204940972222222</v>
      </c>
      <c r="E457" s="2">
        <f t="shared" si="75"/>
        <v>0.74204940972222222</v>
      </c>
      <c r="G457" t="str">
        <f t="shared" si="70"/>
        <v>FFDFD7C0</v>
      </c>
      <c r="H457" t="s">
        <v>126</v>
      </c>
      <c r="I457">
        <v>8</v>
      </c>
      <c r="J457">
        <v>1008</v>
      </c>
      <c r="K457" t="s">
        <v>129</v>
      </c>
      <c r="N457" t="s">
        <v>127</v>
      </c>
      <c r="O457">
        <v>0</v>
      </c>
      <c r="P457">
        <v>3</v>
      </c>
      <c r="Q457">
        <v>0</v>
      </c>
      <c r="R457">
        <v>2</v>
      </c>
      <c r="S457">
        <v>1</v>
      </c>
      <c r="T457">
        <v>0</v>
      </c>
      <c r="U457">
        <v>0</v>
      </c>
      <c r="W457" t="str">
        <f>"17:48:32.805"</f>
        <v>17:48:32.805</v>
      </c>
      <c r="X457" t="str">
        <f>"17:48:32.805"</f>
        <v>17:48:32.805</v>
      </c>
      <c r="Y457" t="str">
        <f t="shared" si="71"/>
        <v>A7C771</v>
      </c>
      <c r="Z457">
        <v>0</v>
      </c>
      <c r="AA457">
        <v>0</v>
      </c>
      <c r="AB457">
        <v>2</v>
      </c>
      <c r="AC457">
        <v>0</v>
      </c>
      <c r="AE457">
        <v>0</v>
      </c>
      <c r="AF457">
        <v>8</v>
      </c>
      <c r="AG457">
        <v>3</v>
      </c>
      <c r="AH457">
        <v>0</v>
      </c>
      <c r="AI457">
        <v>9</v>
      </c>
      <c r="AJ457" t="s">
        <v>125</v>
      </c>
      <c r="AK457">
        <v>0</v>
      </c>
      <c r="AL457">
        <v>3</v>
      </c>
      <c r="AM457">
        <v>2</v>
      </c>
      <c r="AN457">
        <v>1</v>
      </c>
      <c r="AO457" t="s">
        <v>966</v>
      </c>
      <c r="AP457">
        <v>43.108313000000003</v>
      </c>
      <c r="AQ457" t="s">
        <v>758</v>
      </c>
      <c r="AR457">
        <v>-77.567210000000003</v>
      </c>
      <c r="AS457">
        <v>25</v>
      </c>
      <c r="AT457">
        <v>1575</v>
      </c>
      <c r="AU457" t="s">
        <v>123</v>
      </c>
      <c r="AV457">
        <v>-58</v>
      </c>
      <c r="AW457">
        <v>127</v>
      </c>
      <c r="AX457">
        <v>-384</v>
      </c>
      <c r="AZ457">
        <f t="shared" si="76"/>
        <v>3364</v>
      </c>
      <c r="BA457">
        <f t="shared" si="77"/>
        <v>16129</v>
      </c>
      <c r="BB457" s="1">
        <f t="shared" si="78"/>
        <v>139.61733416735902</v>
      </c>
      <c r="BJ457">
        <v>1404</v>
      </c>
      <c r="BK457">
        <v>1</v>
      </c>
      <c r="BL457" t="str">
        <f t="shared" si="72"/>
        <v xml:space="preserve">N600C   </v>
      </c>
      <c r="BM457">
        <v>2</v>
      </c>
      <c r="BO457">
        <v>0</v>
      </c>
      <c r="BP457">
        <v>0</v>
      </c>
      <c r="BQ457">
        <v>0</v>
      </c>
      <c r="BR457">
        <v>1775</v>
      </c>
      <c r="BS457">
        <v>200</v>
      </c>
      <c r="BT457" t="s">
        <v>128</v>
      </c>
      <c r="BU457">
        <v>0</v>
      </c>
      <c r="BV457">
        <v>0</v>
      </c>
      <c r="BW457">
        <v>0</v>
      </c>
      <c r="BX457">
        <v>1</v>
      </c>
      <c r="CA457">
        <v>0</v>
      </c>
      <c r="CB457">
        <v>0</v>
      </c>
      <c r="CC457">
        <v>0</v>
      </c>
      <c r="CM457" t="str">
        <f>"17:48:32.807"</f>
        <v>17:48:32.807</v>
      </c>
      <c r="CN457">
        <v>806796566</v>
      </c>
      <c r="CQ457">
        <v>0</v>
      </c>
      <c r="CR457">
        <v>2016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3</v>
      </c>
      <c r="DB457">
        <v>2</v>
      </c>
      <c r="DC457">
        <v>0</v>
      </c>
      <c r="DD457">
        <v>2</v>
      </c>
      <c r="DE457">
        <v>0</v>
      </c>
      <c r="DF457">
        <v>7</v>
      </c>
      <c r="DG457">
        <v>7</v>
      </c>
      <c r="DH457" t="s">
        <v>124</v>
      </c>
      <c r="DI457">
        <v>407</v>
      </c>
      <c r="DJ457">
        <v>3</v>
      </c>
      <c r="DK457" t="s">
        <v>132</v>
      </c>
      <c r="DL457" t="s">
        <v>133</v>
      </c>
      <c r="DO457">
        <v>1733105</v>
      </c>
      <c r="DQ457">
        <v>0</v>
      </c>
      <c r="DR457">
        <v>0</v>
      </c>
      <c r="DS457">
        <v>1</v>
      </c>
      <c r="DT457">
        <v>0</v>
      </c>
      <c r="DU457">
        <v>0</v>
      </c>
      <c r="DV457">
        <v>1</v>
      </c>
      <c r="DW457">
        <v>0</v>
      </c>
      <c r="DX457">
        <v>0</v>
      </c>
      <c r="DY457">
        <v>0</v>
      </c>
      <c r="DZ457">
        <v>0</v>
      </c>
      <c r="EA457">
        <v>0</v>
      </c>
    </row>
    <row r="458" spans="1:131" x14ac:dyDescent="0.35">
      <c r="A458" s="2" t="str">
        <f>"17:48:34.069"</f>
        <v>17:48:34.069</v>
      </c>
      <c r="B458" s="4">
        <f t="shared" si="79"/>
        <v>64114.069000000003</v>
      </c>
      <c r="C458" s="4">
        <f t="shared" si="73"/>
        <v>514.06900000000314</v>
      </c>
      <c r="D458" s="3">
        <f t="shared" si="74"/>
        <v>0.74206098379629637</v>
      </c>
      <c r="E458" s="2">
        <f t="shared" si="75"/>
        <v>0.74206098379629637</v>
      </c>
      <c r="G458" t="str">
        <f t="shared" si="70"/>
        <v>FFDFD7C0</v>
      </c>
      <c r="H458" t="s">
        <v>126</v>
      </c>
      <c r="I458">
        <v>8</v>
      </c>
      <c r="J458">
        <v>1008</v>
      </c>
      <c r="K458" t="s">
        <v>129</v>
      </c>
      <c r="N458" t="s">
        <v>127</v>
      </c>
      <c r="O458">
        <v>0</v>
      </c>
      <c r="P458">
        <v>3</v>
      </c>
      <c r="Q458">
        <v>0</v>
      </c>
      <c r="R458">
        <v>2</v>
      </c>
      <c r="S458">
        <v>1</v>
      </c>
      <c r="T458">
        <v>0</v>
      </c>
      <c r="U458">
        <v>0</v>
      </c>
      <c r="W458" t="str">
        <f>"17:48:33.742"</f>
        <v>17:48:33.742</v>
      </c>
      <c r="X458" t="str">
        <f>"17:48:33.242"</f>
        <v>17:48:33.242</v>
      </c>
      <c r="Y458" t="str">
        <f t="shared" si="71"/>
        <v>A7C771</v>
      </c>
      <c r="Z458">
        <v>0</v>
      </c>
      <c r="AA458">
        <v>0</v>
      </c>
      <c r="AB458">
        <v>2</v>
      </c>
      <c r="AC458">
        <v>0</v>
      </c>
      <c r="AE458">
        <v>0</v>
      </c>
      <c r="AF458">
        <v>8</v>
      </c>
      <c r="AG458">
        <v>3</v>
      </c>
      <c r="AH458">
        <v>0</v>
      </c>
      <c r="AI458">
        <v>9</v>
      </c>
      <c r="AJ458" t="s">
        <v>125</v>
      </c>
      <c r="AK458">
        <v>0</v>
      </c>
      <c r="AL458">
        <v>3</v>
      </c>
      <c r="AM458">
        <v>2</v>
      </c>
      <c r="AN458">
        <v>1</v>
      </c>
      <c r="AO458" t="s">
        <v>967</v>
      </c>
      <c r="AP458">
        <v>43.108784999999997</v>
      </c>
      <c r="AQ458" t="s">
        <v>968</v>
      </c>
      <c r="AR458">
        <v>-77.567575000000005</v>
      </c>
      <c r="AS458">
        <v>25</v>
      </c>
      <c r="AT458">
        <v>1575</v>
      </c>
      <c r="AU458" t="s">
        <v>123</v>
      </c>
      <c r="AV458">
        <v>-64</v>
      </c>
      <c r="AW458">
        <v>125</v>
      </c>
      <c r="AX458">
        <v>-448</v>
      </c>
      <c r="AZ458">
        <f t="shared" si="76"/>
        <v>4096</v>
      </c>
      <c r="BA458">
        <f t="shared" si="77"/>
        <v>15625</v>
      </c>
      <c r="BB458" s="1">
        <f t="shared" si="78"/>
        <v>140.43147795277241</v>
      </c>
      <c r="BJ458">
        <v>1404</v>
      </c>
      <c r="BK458">
        <v>1</v>
      </c>
      <c r="BL458" t="str">
        <f t="shared" si="72"/>
        <v xml:space="preserve">N600C   </v>
      </c>
      <c r="BM458">
        <v>2</v>
      </c>
      <c r="BO458">
        <v>0</v>
      </c>
      <c r="BP458">
        <v>0</v>
      </c>
      <c r="BQ458">
        <v>0</v>
      </c>
      <c r="BR458">
        <v>1775</v>
      </c>
      <c r="BS458">
        <v>200</v>
      </c>
      <c r="BT458" t="s">
        <v>128</v>
      </c>
      <c r="BU458">
        <v>0</v>
      </c>
      <c r="BV458">
        <v>0</v>
      </c>
      <c r="BW458">
        <v>0</v>
      </c>
      <c r="BX458">
        <v>1</v>
      </c>
      <c r="CA458">
        <v>0</v>
      </c>
      <c r="CB458">
        <v>0</v>
      </c>
      <c r="CC458">
        <v>0</v>
      </c>
      <c r="CM458" t="str">
        <f>"17:48:33.743"</f>
        <v>17:48:33.743</v>
      </c>
      <c r="CN458">
        <v>742966716</v>
      </c>
      <c r="CQ458">
        <v>0</v>
      </c>
      <c r="CR458">
        <v>2016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3</v>
      </c>
      <c r="DB458">
        <v>2</v>
      </c>
      <c r="DC458">
        <v>0</v>
      </c>
      <c r="DD458">
        <v>2</v>
      </c>
      <c r="DE458">
        <v>0</v>
      </c>
      <c r="DF458">
        <v>7</v>
      </c>
      <c r="DG458">
        <v>7</v>
      </c>
      <c r="DH458" t="s">
        <v>124</v>
      </c>
      <c r="DI458">
        <v>407</v>
      </c>
      <c r="DJ458">
        <v>3</v>
      </c>
      <c r="DK458" t="s">
        <v>132</v>
      </c>
      <c r="DL458" t="s">
        <v>133</v>
      </c>
      <c r="DO458">
        <v>1733968</v>
      </c>
      <c r="DQ458">
        <v>0</v>
      </c>
      <c r="DR458">
        <v>0</v>
      </c>
      <c r="DS458">
        <v>1</v>
      </c>
      <c r="DT458">
        <v>0</v>
      </c>
      <c r="DU458">
        <v>0</v>
      </c>
      <c r="DV458">
        <v>1</v>
      </c>
      <c r="DW458">
        <v>0</v>
      </c>
      <c r="DX458">
        <v>0</v>
      </c>
      <c r="DY458">
        <v>0</v>
      </c>
      <c r="DZ458">
        <v>0</v>
      </c>
      <c r="EA458">
        <v>0</v>
      </c>
    </row>
    <row r="459" spans="1:131" x14ac:dyDescent="0.35">
      <c r="A459" s="2" t="str">
        <f>"17:48:35.101"</f>
        <v>17:48:35.101</v>
      </c>
      <c r="B459" s="4">
        <f t="shared" si="79"/>
        <v>64115.101000000002</v>
      </c>
      <c r="C459" s="4">
        <f t="shared" si="73"/>
        <v>515.10100000000239</v>
      </c>
      <c r="D459" s="3">
        <f t="shared" si="74"/>
        <v>0.74207292824074078</v>
      </c>
      <c r="E459" s="2">
        <f t="shared" si="75"/>
        <v>0.74207292824074078</v>
      </c>
      <c r="G459" t="str">
        <f t="shared" si="70"/>
        <v>FFDFD7C0</v>
      </c>
      <c r="H459" t="s">
        <v>126</v>
      </c>
      <c r="I459">
        <v>8</v>
      </c>
      <c r="J459">
        <v>1008</v>
      </c>
      <c r="K459" t="s">
        <v>129</v>
      </c>
      <c r="N459" t="s">
        <v>127</v>
      </c>
      <c r="O459">
        <v>0</v>
      </c>
      <c r="P459">
        <v>3</v>
      </c>
      <c r="Q459">
        <v>0</v>
      </c>
      <c r="R459">
        <v>2</v>
      </c>
      <c r="S459">
        <v>1</v>
      </c>
      <c r="T459">
        <v>0</v>
      </c>
      <c r="U459">
        <v>0</v>
      </c>
      <c r="W459" t="str">
        <f>"17:48:34.789"</f>
        <v>17:48:34.789</v>
      </c>
      <c r="X459" t="str">
        <f>"17:48:34.789"</f>
        <v>17:48:34.789</v>
      </c>
      <c r="Y459" t="str">
        <f t="shared" si="71"/>
        <v>A7C771</v>
      </c>
      <c r="Z459">
        <v>0</v>
      </c>
      <c r="AA459">
        <v>0</v>
      </c>
      <c r="AB459">
        <v>2</v>
      </c>
      <c r="AC459">
        <v>0</v>
      </c>
      <c r="AE459">
        <v>0</v>
      </c>
      <c r="AF459">
        <v>8</v>
      </c>
      <c r="AG459">
        <v>3</v>
      </c>
      <c r="AH459">
        <v>0</v>
      </c>
      <c r="AI459">
        <v>9</v>
      </c>
      <c r="AJ459" t="s">
        <v>125</v>
      </c>
      <c r="AK459">
        <v>0</v>
      </c>
      <c r="AL459">
        <v>3</v>
      </c>
      <c r="AM459">
        <v>2</v>
      </c>
      <c r="AN459">
        <v>1</v>
      </c>
      <c r="AO459" t="s">
        <v>969</v>
      </c>
      <c r="AP459">
        <v>43.109343000000003</v>
      </c>
      <c r="AQ459" t="s">
        <v>970</v>
      </c>
      <c r="AR459">
        <v>-77.568004000000002</v>
      </c>
      <c r="AS459">
        <v>25</v>
      </c>
      <c r="AT459">
        <v>1575</v>
      </c>
      <c r="AU459" t="s">
        <v>123</v>
      </c>
      <c r="AV459">
        <v>-68</v>
      </c>
      <c r="AW459">
        <v>122</v>
      </c>
      <c r="AX459">
        <v>-384</v>
      </c>
      <c r="AZ459">
        <f t="shared" si="76"/>
        <v>4624</v>
      </c>
      <c r="BA459">
        <f t="shared" si="77"/>
        <v>14884</v>
      </c>
      <c r="BB459" s="1">
        <f t="shared" si="78"/>
        <v>139.67104209534631</v>
      </c>
      <c r="BJ459">
        <v>1404</v>
      </c>
      <c r="BK459">
        <v>1</v>
      </c>
      <c r="BL459" t="str">
        <f t="shared" si="72"/>
        <v xml:space="preserve">N600C   </v>
      </c>
      <c r="BM459">
        <v>2</v>
      </c>
      <c r="BO459">
        <v>0</v>
      </c>
      <c r="BP459">
        <v>0</v>
      </c>
      <c r="BQ459">
        <v>0</v>
      </c>
      <c r="BR459">
        <v>1775</v>
      </c>
      <c r="BS459">
        <v>200</v>
      </c>
      <c r="BT459" t="s">
        <v>128</v>
      </c>
      <c r="BU459">
        <v>0</v>
      </c>
      <c r="BV459">
        <v>0</v>
      </c>
      <c r="BW459">
        <v>0</v>
      </c>
      <c r="BX459">
        <v>1</v>
      </c>
      <c r="CA459">
        <v>0</v>
      </c>
      <c r="CB459">
        <v>0</v>
      </c>
      <c r="CC459">
        <v>0</v>
      </c>
      <c r="CM459" t="str">
        <f>"17:48:34.791"</f>
        <v>17:48:34.791</v>
      </c>
      <c r="CN459">
        <v>791162307</v>
      </c>
      <c r="CQ459">
        <v>0</v>
      </c>
      <c r="CR459">
        <v>2016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3</v>
      </c>
      <c r="DB459">
        <v>2</v>
      </c>
      <c r="DC459">
        <v>0</v>
      </c>
      <c r="DD459">
        <v>2</v>
      </c>
      <c r="DE459">
        <v>0</v>
      </c>
      <c r="DF459">
        <v>7</v>
      </c>
      <c r="DG459">
        <v>7</v>
      </c>
      <c r="DH459" t="s">
        <v>124</v>
      </c>
      <c r="DI459">
        <v>407</v>
      </c>
      <c r="DJ459">
        <v>3</v>
      </c>
      <c r="DK459" t="s">
        <v>132</v>
      </c>
      <c r="DL459" t="s">
        <v>133</v>
      </c>
      <c r="DO459">
        <v>1734970</v>
      </c>
      <c r="DQ459">
        <v>0</v>
      </c>
      <c r="DR459">
        <v>0</v>
      </c>
      <c r="DS459">
        <v>1</v>
      </c>
      <c r="DT459">
        <v>0</v>
      </c>
      <c r="DU459">
        <v>0</v>
      </c>
      <c r="DV459">
        <v>1</v>
      </c>
      <c r="DW459">
        <v>0</v>
      </c>
      <c r="DX459">
        <v>0</v>
      </c>
      <c r="DY459">
        <v>0</v>
      </c>
      <c r="DZ459">
        <v>0</v>
      </c>
      <c r="EA459">
        <v>0</v>
      </c>
    </row>
    <row r="460" spans="1:131" x14ac:dyDescent="0.35">
      <c r="A460" s="2" t="str">
        <f>"17:48:36.085"</f>
        <v>17:48:36.085</v>
      </c>
      <c r="B460" s="4">
        <f t="shared" si="79"/>
        <v>64116.084999999999</v>
      </c>
      <c r="C460" s="4">
        <f t="shared" si="73"/>
        <v>516.08499999999913</v>
      </c>
      <c r="D460" s="3">
        <f t="shared" si="74"/>
        <v>0.74208431712962963</v>
      </c>
      <c r="E460" s="2">
        <f t="shared" si="75"/>
        <v>0.74208431712962963</v>
      </c>
      <c r="G460" t="str">
        <f t="shared" si="70"/>
        <v>FFDFD7C0</v>
      </c>
      <c r="H460" t="s">
        <v>126</v>
      </c>
      <c r="I460">
        <v>8</v>
      </c>
      <c r="J460">
        <v>1008</v>
      </c>
      <c r="K460" t="s">
        <v>129</v>
      </c>
      <c r="N460" t="s">
        <v>127</v>
      </c>
      <c r="O460">
        <v>0</v>
      </c>
      <c r="P460">
        <v>3</v>
      </c>
      <c r="Q460">
        <v>0</v>
      </c>
      <c r="R460">
        <v>2</v>
      </c>
      <c r="S460">
        <v>1</v>
      </c>
      <c r="T460">
        <v>0</v>
      </c>
      <c r="U460">
        <v>0</v>
      </c>
      <c r="W460" t="str">
        <f>"17:48:35.781"</f>
        <v>17:48:35.781</v>
      </c>
      <c r="X460" t="str">
        <f>"17:48:35.781"</f>
        <v>17:48:35.781</v>
      </c>
      <c r="Y460" t="str">
        <f t="shared" si="71"/>
        <v>A7C771</v>
      </c>
      <c r="Z460">
        <v>0</v>
      </c>
      <c r="AA460">
        <v>0</v>
      </c>
      <c r="AB460">
        <v>2</v>
      </c>
      <c r="AC460">
        <v>0</v>
      </c>
      <c r="AE460">
        <v>0</v>
      </c>
      <c r="AF460">
        <v>8</v>
      </c>
      <c r="AG460">
        <v>3</v>
      </c>
      <c r="AH460">
        <v>0</v>
      </c>
      <c r="AI460">
        <v>9</v>
      </c>
      <c r="AJ460" t="s">
        <v>125</v>
      </c>
      <c r="AK460">
        <v>0</v>
      </c>
      <c r="AL460">
        <v>3</v>
      </c>
      <c r="AM460">
        <v>2</v>
      </c>
      <c r="AN460">
        <v>1</v>
      </c>
      <c r="AO460" t="s">
        <v>971</v>
      </c>
      <c r="AP460">
        <v>43.109901000000001</v>
      </c>
      <c r="AQ460" t="s">
        <v>972</v>
      </c>
      <c r="AR460">
        <v>-77.568455</v>
      </c>
      <c r="AS460">
        <v>25</v>
      </c>
      <c r="AT460">
        <v>1575</v>
      </c>
      <c r="AU460" t="s">
        <v>123</v>
      </c>
      <c r="AV460">
        <v>-72</v>
      </c>
      <c r="AW460">
        <v>118</v>
      </c>
      <c r="AX460">
        <v>-384</v>
      </c>
      <c r="AZ460">
        <f t="shared" si="76"/>
        <v>5184</v>
      </c>
      <c r="BA460">
        <f t="shared" si="77"/>
        <v>13924</v>
      </c>
      <c r="BB460" s="1">
        <f t="shared" si="78"/>
        <v>138.23168956501979</v>
      </c>
      <c r="BJ460">
        <v>1404</v>
      </c>
      <c r="BK460">
        <v>1</v>
      </c>
      <c r="BL460" t="str">
        <f t="shared" si="72"/>
        <v xml:space="preserve">N600C   </v>
      </c>
      <c r="BM460">
        <v>2</v>
      </c>
      <c r="BO460">
        <v>0</v>
      </c>
      <c r="BP460">
        <v>0</v>
      </c>
      <c r="BQ460">
        <v>0</v>
      </c>
      <c r="BR460">
        <v>1775</v>
      </c>
      <c r="BS460">
        <v>200</v>
      </c>
      <c r="BT460" t="s">
        <v>128</v>
      </c>
      <c r="BU460">
        <v>0</v>
      </c>
      <c r="BV460">
        <v>0</v>
      </c>
      <c r="BW460">
        <v>0</v>
      </c>
      <c r="BX460">
        <v>1</v>
      </c>
      <c r="CA460">
        <v>0</v>
      </c>
      <c r="CB460">
        <v>0</v>
      </c>
      <c r="CC460">
        <v>0</v>
      </c>
      <c r="CM460" t="str">
        <f>"17:48:35.783"</f>
        <v>17:48:35.783</v>
      </c>
      <c r="CN460">
        <v>783352520</v>
      </c>
      <c r="CQ460">
        <v>0</v>
      </c>
      <c r="CR460">
        <v>2016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3</v>
      </c>
      <c r="DB460">
        <v>2</v>
      </c>
      <c r="DC460">
        <v>0</v>
      </c>
      <c r="DD460">
        <v>2</v>
      </c>
      <c r="DE460">
        <v>0</v>
      </c>
      <c r="DF460">
        <v>6</v>
      </c>
      <c r="DG460">
        <v>7</v>
      </c>
      <c r="DH460" t="s">
        <v>124</v>
      </c>
      <c r="DI460">
        <v>71</v>
      </c>
      <c r="DJ460">
        <v>1</v>
      </c>
      <c r="DK460" t="s">
        <v>134</v>
      </c>
      <c r="DL460" t="s">
        <v>135</v>
      </c>
      <c r="DO460">
        <v>11645933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1</v>
      </c>
      <c r="DW460">
        <v>0</v>
      </c>
      <c r="DX460">
        <v>0</v>
      </c>
      <c r="DY460">
        <v>0</v>
      </c>
      <c r="DZ460">
        <v>0</v>
      </c>
      <c r="EA460">
        <v>0</v>
      </c>
    </row>
    <row r="461" spans="1:131" x14ac:dyDescent="0.35">
      <c r="A461" s="2" t="str">
        <f>"17:48:37.039"</f>
        <v>17:48:37.039</v>
      </c>
      <c r="B461" s="4">
        <f t="shared" si="79"/>
        <v>64117.038999999997</v>
      </c>
      <c r="C461" s="4">
        <f t="shared" si="73"/>
        <v>517.03899999999703</v>
      </c>
      <c r="D461" s="3">
        <f t="shared" si="74"/>
        <v>0.74209535879629629</v>
      </c>
      <c r="E461" s="2">
        <f t="shared" si="75"/>
        <v>0.74209535879629629</v>
      </c>
      <c r="G461" t="str">
        <f t="shared" si="70"/>
        <v>FFDFD7C0</v>
      </c>
      <c r="H461" t="s">
        <v>126</v>
      </c>
      <c r="I461">
        <v>8</v>
      </c>
      <c r="J461">
        <v>1008</v>
      </c>
      <c r="K461" t="s">
        <v>129</v>
      </c>
      <c r="N461" t="s">
        <v>127</v>
      </c>
      <c r="O461">
        <v>0</v>
      </c>
      <c r="P461">
        <v>3</v>
      </c>
      <c r="Q461">
        <v>0</v>
      </c>
      <c r="R461">
        <v>2</v>
      </c>
      <c r="S461">
        <v>1</v>
      </c>
      <c r="T461">
        <v>0</v>
      </c>
      <c r="U461">
        <v>0</v>
      </c>
      <c r="W461" t="str">
        <f>"17:48:36.750"</f>
        <v>17:48:36.750</v>
      </c>
      <c r="X461" t="str">
        <f>"17:48:36.750"</f>
        <v>17:48:36.750</v>
      </c>
      <c r="Y461" t="str">
        <f t="shared" si="71"/>
        <v>A7C771</v>
      </c>
      <c r="Z461">
        <v>0</v>
      </c>
      <c r="AA461">
        <v>0</v>
      </c>
      <c r="AB461">
        <v>2</v>
      </c>
      <c r="AC461">
        <v>0</v>
      </c>
      <c r="AE461">
        <v>0</v>
      </c>
      <c r="AF461">
        <v>8</v>
      </c>
      <c r="AG461">
        <v>3</v>
      </c>
      <c r="AH461">
        <v>0</v>
      </c>
      <c r="AI461">
        <v>9</v>
      </c>
      <c r="AJ461" t="s">
        <v>125</v>
      </c>
      <c r="AK461">
        <v>0</v>
      </c>
      <c r="AL461">
        <v>3</v>
      </c>
      <c r="AM461">
        <v>2</v>
      </c>
      <c r="AN461">
        <v>1</v>
      </c>
      <c r="AO461" t="s">
        <v>973</v>
      </c>
      <c r="AP461">
        <v>43.110436999999997</v>
      </c>
      <c r="AQ461" t="s">
        <v>734</v>
      </c>
      <c r="AR461">
        <v>-77.568969999999993</v>
      </c>
      <c r="AS461">
        <v>25</v>
      </c>
      <c r="AT461">
        <v>1550</v>
      </c>
      <c r="AU461" t="s">
        <v>123</v>
      </c>
      <c r="AV461">
        <v>-76</v>
      </c>
      <c r="AW461">
        <v>115</v>
      </c>
      <c r="AX461">
        <v>-384</v>
      </c>
      <c r="AZ461">
        <f t="shared" si="76"/>
        <v>5776</v>
      </c>
      <c r="BA461">
        <f t="shared" si="77"/>
        <v>13225</v>
      </c>
      <c r="BB461" s="1">
        <f t="shared" si="78"/>
        <v>137.84411485442533</v>
      </c>
      <c r="BJ461">
        <v>1404</v>
      </c>
      <c r="BK461">
        <v>1</v>
      </c>
      <c r="BL461" t="str">
        <f t="shared" si="72"/>
        <v xml:space="preserve">N600C   </v>
      </c>
      <c r="BM461">
        <v>2</v>
      </c>
      <c r="BO461">
        <v>0</v>
      </c>
      <c r="BP461">
        <v>0</v>
      </c>
      <c r="BQ461">
        <v>0</v>
      </c>
      <c r="BR461">
        <v>1750</v>
      </c>
      <c r="BS461">
        <v>200</v>
      </c>
      <c r="BT461" t="s">
        <v>128</v>
      </c>
      <c r="BU461">
        <v>0</v>
      </c>
      <c r="BV461">
        <v>0</v>
      </c>
      <c r="BW461">
        <v>0</v>
      </c>
      <c r="BX461">
        <v>1</v>
      </c>
      <c r="CA461">
        <v>0</v>
      </c>
      <c r="CB461">
        <v>0</v>
      </c>
      <c r="CC461">
        <v>0</v>
      </c>
      <c r="CM461" t="str">
        <f>"17:48:36.752"</f>
        <v>17:48:36.752</v>
      </c>
      <c r="CN461">
        <v>751527263</v>
      </c>
      <c r="CQ461">
        <v>0</v>
      </c>
      <c r="CR461">
        <v>2016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3</v>
      </c>
      <c r="DB461">
        <v>2</v>
      </c>
      <c r="DC461">
        <v>0</v>
      </c>
      <c r="DD461">
        <v>2</v>
      </c>
      <c r="DE461">
        <v>0</v>
      </c>
      <c r="DF461">
        <v>6</v>
      </c>
      <c r="DG461">
        <v>7</v>
      </c>
      <c r="DH461" t="s">
        <v>124</v>
      </c>
      <c r="DI461">
        <v>71</v>
      </c>
      <c r="DJ461">
        <v>1</v>
      </c>
      <c r="DK461" t="s">
        <v>134</v>
      </c>
      <c r="DL461" t="s">
        <v>135</v>
      </c>
      <c r="DO461">
        <v>11646753</v>
      </c>
      <c r="DQ461">
        <v>0</v>
      </c>
      <c r="DR461">
        <v>0</v>
      </c>
      <c r="DS461">
        <v>1</v>
      </c>
      <c r="DT461">
        <v>0</v>
      </c>
      <c r="DU461">
        <v>0</v>
      </c>
      <c r="DV461">
        <v>1</v>
      </c>
      <c r="DW461">
        <v>0</v>
      </c>
      <c r="DX461">
        <v>0</v>
      </c>
      <c r="DY461">
        <v>0</v>
      </c>
      <c r="DZ461">
        <v>0</v>
      </c>
      <c r="EA461">
        <v>0</v>
      </c>
    </row>
    <row r="462" spans="1:131" x14ac:dyDescent="0.35">
      <c r="A462" s="2" t="str">
        <f>"17:48:38.039"</f>
        <v>17:48:38.039</v>
      </c>
      <c r="B462" s="4">
        <f t="shared" si="79"/>
        <v>64118.038999999997</v>
      </c>
      <c r="C462" s="4">
        <f t="shared" si="73"/>
        <v>518.03899999999703</v>
      </c>
      <c r="D462" s="3">
        <f t="shared" si="74"/>
        <v>0.74210693287037033</v>
      </c>
      <c r="E462" s="2">
        <f t="shared" si="75"/>
        <v>0.74210693287037033</v>
      </c>
      <c r="G462" t="str">
        <f t="shared" si="70"/>
        <v>FFDFD7C0</v>
      </c>
      <c r="H462" t="s">
        <v>126</v>
      </c>
      <c r="I462">
        <v>8</v>
      </c>
      <c r="J462">
        <v>1008</v>
      </c>
      <c r="K462" t="s">
        <v>129</v>
      </c>
      <c r="N462" t="s">
        <v>127</v>
      </c>
      <c r="O462">
        <v>0</v>
      </c>
      <c r="P462">
        <v>3</v>
      </c>
      <c r="Q462">
        <v>0</v>
      </c>
      <c r="R462">
        <v>2</v>
      </c>
      <c r="S462">
        <v>1</v>
      </c>
      <c r="T462">
        <v>0</v>
      </c>
      <c r="U462">
        <v>0</v>
      </c>
      <c r="W462" t="str">
        <f>"17:48:37.766"</f>
        <v>17:48:37.766</v>
      </c>
      <c r="X462" t="str">
        <f>"17:48:37.666"</f>
        <v>17:48:37.666</v>
      </c>
      <c r="Y462" t="str">
        <f t="shared" si="71"/>
        <v>A7C771</v>
      </c>
      <c r="Z462">
        <v>0</v>
      </c>
      <c r="AA462">
        <v>0</v>
      </c>
      <c r="AB462">
        <v>2</v>
      </c>
      <c r="AC462">
        <v>0</v>
      </c>
      <c r="AE462">
        <v>0</v>
      </c>
      <c r="AF462">
        <v>8</v>
      </c>
      <c r="AG462">
        <v>3</v>
      </c>
      <c r="AH462">
        <v>0</v>
      </c>
      <c r="AI462">
        <v>9</v>
      </c>
      <c r="AJ462" t="s">
        <v>125</v>
      </c>
      <c r="AK462">
        <v>0</v>
      </c>
      <c r="AL462">
        <v>3</v>
      </c>
      <c r="AM462">
        <v>2</v>
      </c>
      <c r="AN462">
        <v>1</v>
      </c>
      <c r="AO462" t="s">
        <v>974</v>
      </c>
      <c r="AP462">
        <v>43.110951999999997</v>
      </c>
      <c r="AQ462" t="s">
        <v>728</v>
      </c>
      <c r="AR462">
        <v>-77.569485</v>
      </c>
      <c r="AS462">
        <v>25</v>
      </c>
      <c r="AT462">
        <v>1550</v>
      </c>
      <c r="AU462" t="s">
        <v>123</v>
      </c>
      <c r="AV462">
        <v>-80</v>
      </c>
      <c r="AW462">
        <v>112</v>
      </c>
      <c r="AX462">
        <v>-256</v>
      </c>
      <c r="AZ462">
        <f t="shared" si="76"/>
        <v>6400</v>
      </c>
      <c r="BA462">
        <f t="shared" si="77"/>
        <v>12544</v>
      </c>
      <c r="BB462" s="1">
        <f t="shared" si="78"/>
        <v>137.63720427268203</v>
      </c>
      <c r="BJ462">
        <v>1404</v>
      </c>
      <c r="BK462">
        <v>1</v>
      </c>
      <c r="BL462" t="str">
        <f t="shared" si="72"/>
        <v xml:space="preserve">N600C   </v>
      </c>
      <c r="BM462">
        <v>2</v>
      </c>
      <c r="BO462">
        <v>0</v>
      </c>
      <c r="BP462">
        <v>0</v>
      </c>
      <c r="BQ462">
        <v>0</v>
      </c>
      <c r="BR462">
        <v>1750</v>
      </c>
      <c r="BS462">
        <v>200</v>
      </c>
      <c r="BT462" t="s">
        <v>128</v>
      </c>
      <c r="BU462">
        <v>0</v>
      </c>
      <c r="BV462">
        <v>0</v>
      </c>
      <c r="BW462">
        <v>0</v>
      </c>
      <c r="BX462">
        <v>1</v>
      </c>
      <c r="CA462">
        <v>0</v>
      </c>
      <c r="CB462">
        <v>0</v>
      </c>
      <c r="CC462">
        <v>0</v>
      </c>
      <c r="CM462" t="str">
        <f>"17:48:37.768"</f>
        <v>17:48:37.768</v>
      </c>
      <c r="CN462">
        <v>767711083</v>
      </c>
      <c r="CQ462">
        <v>0</v>
      </c>
      <c r="CR462">
        <v>2016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3</v>
      </c>
      <c r="DB462">
        <v>2</v>
      </c>
      <c r="DC462">
        <v>0</v>
      </c>
      <c r="DD462">
        <v>2</v>
      </c>
      <c r="DE462">
        <v>0</v>
      </c>
      <c r="DF462">
        <v>6</v>
      </c>
      <c r="DG462">
        <v>7</v>
      </c>
      <c r="DH462" t="s">
        <v>124</v>
      </c>
      <c r="DI462">
        <v>71</v>
      </c>
      <c r="DJ462">
        <v>0</v>
      </c>
      <c r="DK462" t="s">
        <v>134</v>
      </c>
      <c r="DL462" t="s">
        <v>135</v>
      </c>
      <c r="DO462">
        <v>10279229</v>
      </c>
      <c r="DQ462">
        <v>0</v>
      </c>
      <c r="DR462">
        <v>0</v>
      </c>
      <c r="DS462">
        <v>1</v>
      </c>
      <c r="DT462">
        <v>0</v>
      </c>
      <c r="DU462">
        <v>0</v>
      </c>
      <c r="DV462">
        <v>1</v>
      </c>
      <c r="DW462">
        <v>0</v>
      </c>
      <c r="DX462">
        <v>0</v>
      </c>
      <c r="DY462">
        <v>0</v>
      </c>
      <c r="DZ462">
        <v>0</v>
      </c>
      <c r="EA462">
        <v>0</v>
      </c>
    </row>
    <row r="463" spans="1:131" x14ac:dyDescent="0.35">
      <c r="A463" s="2" t="str">
        <f>"17:48:39.085"</f>
        <v>17:48:39.085</v>
      </c>
      <c r="B463" s="4">
        <f t="shared" si="79"/>
        <v>64119.084999999999</v>
      </c>
      <c r="C463" s="4">
        <f t="shared" si="73"/>
        <v>519.08499999999913</v>
      </c>
      <c r="D463" s="3">
        <f t="shared" si="74"/>
        <v>0.74211903935185186</v>
      </c>
      <c r="E463" s="2">
        <f t="shared" si="75"/>
        <v>0.74211903935185186</v>
      </c>
      <c r="G463" t="str">
        <f t="shared" si="70"/>
        <v>FFDFD7C0</v>
      </c>
      <c r="H463" t="s">
        <v>126</v>
      </c>
      <c r="I463">
        <v>8</v>
      </c>
      <c r="J463">
        <v>1008</v>
      </c>
      <c r="K463" t="s">
        <v>129</v>
      </c>
      <c r="N463" t="s">
        <v>127</v>
      </c>
      <c r="O463">
        <v>0</v>
      </c>
      <c r="P463">
        <v>3</v>
      </c>
      <c r="Q463">
        <v>0</v>
      </c>
      <c r="R463">
        <v>2</v>
      </c>
      <c r="S463">
        <v>1</v>
      </c>
      <c r="T463">
        <v>0</v>
      </c>
      <c r="U463">
        <v>0</v>
      </c>
      <c r="W463" t="str">
        <f>"17:48:38.898"</f>
        <v>17:48:38.898</v>
      </c>
      <c r="X463" t="str">
        <f>"17:48:38.598"</f>
        <v>17:48:38.598</v>
      </c>
      <c r="Y463" t="str">
        <f t="shared" si="71"/>
        <v>A7C771</v>
      </c>
      <c r="Z463">
        <v>0</v>
      </c>
      <c r="AA463">
        <v>0</v>
      </c>
      <c r="AB463">
        <v>2</v>
      </c>
      <c r="AC463">
        <v>0</v>
      </c>
      <c r="AE463">
        <v>0</v>
      </c>
      <c r="AF463">
        <v>8</v>
      </c>
      <c r="AG463">
        <v>3</v>
      </c>
      <c r="AH463">
        <v>0</v>
      </c>
      <c r="AI463">
        <v>9</v>
      </c>
      <c r="AJ463" t="s">
        <v>125</v>
      </c>
      <c r="AK463">
        <v>0</v>
      </c>
      <c r="AL463">
        <v>3</v>
      </c>
      <c r="AM463">
        <v>2</v>
      </c>
      <c r="AN463">
        <v>1</v>
      </c>
      <c r="AO463" t="s">
        <v>975</v>
      </c>
      <c r="AP463">
        <v>43.111531999999997</v>
      </c>
      <c r="AQ463" t="s">
        <v>976</v>
      </c>
      <c r="AR463">
        <v>-77.570127999999997</v>
      </c>
      <c r="AS463">
        <v>25</v>
      </c>
      <c r="AT463">
        <v>1550</v>
      </c>
      <c r="AU463" t="s">
        <v>123</v>
      </c>
      <c r="AV463">
        <v>-82</v>
      </c>
      <c r="AW463">
        <v>109</v>
      </c>
      <c r="AX463">
        <v>-192</v>
      </c>
      <c r="AZ463">
        <f t="shared" si="76"/>
        <v>6724</v>
      </c>
      <c r="BA463">
        <f t="shared" si="77"/>
        <v>11881</v>
      </c>
      <c r="BB463" s="1">
        <f t="shared" si="78"/>
        <v>136.40014662748717</v>
      </c>
      <c r="BJ463">
        <v>1404</v>
      </c>
      <c r="BK463">
        <v>1</v>
      </c>
      <c r="BL463" t="str">
        <f t="shared" si="72"/>
        <v xml:space="preserve">N600C   </v>
      </c>
      <c r="BM463">
        <v>2</v>
      </c>
      <c r="BO463">
        <v>0</v>
      </c>
      <c r="BP463">
        <v>0</v>
      </c>
      <c r="BQ463">
        <v>0</v>
      </c>
      <c r="BR463">
        <v>1750</v>
      </c>
      <c r="BS463">
        <v>200</v>
      </c>
      <c r="BT463" t="s">
        <v>128</v>
      </c>
      <c r="BU463">
        <v>0</v>
      </c>
      <c r="BV463">
        <v>0</v>
      </c>
      <c r="BW463">
        <v>0</v>
      </c>
      <c r="BX463">
        <v>1</v>
      </c>
      <c r="CA463">
        <v>0</v>
      </c>
      <c r="CB463">
        <v>0</v>
      </c>
      <c r="CC463">
        <v>0</v>
      </c>
      <c r="CM463" t="str">
        <f>"17:48:38.904"</f>
        <v>17:48:38.904</v>
      </c>
      <c r="CN463">
        <v>903912943</v>
      </c>
      <c r="CQ463">
        <v>0</v>
      </c>
      <c r="CR463">
        <v>2016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3</v>
      </c>
      <c r="DB463">
        <v>2</v>
      </c>
      <c r="DC463">
        <v>0</v>
      </c>
      <c r="DD463">
        <v>2</v>
      </c>
      <c r="DE463">
        <v>0</v>
      </c>
      <c r="DF463">
        <v>7</v>
      </c>
      <c r="DG463">
        <v>7</v>
      </c>
      <c r="DH463" t="s">
        <v>124</v>
      </c>
      <c r="DI463">
        <v>407</v>
      </c>
      <c r="DJ463">
        <v>3</v>
      </c>
      <c r="DK463" t="s">
        <v>132</v>
      </c>
      <c r="DL463" t="s">
        <v>133</v>
      </c>
      <c r="DO463">
        <v>1739304</v>
      </c>
      <c r="DQ463">
        <v>0</v>
      </c>
      <c r="DR463">
        <v>0</v>
      </c>
      <c r="DS463">
        <v>1</v>
      </c>
      <c r="DT463">
        <v>0</v>
      </c>
      <c r="DU463">
        <v>0</v>
      </c>
      <c r="DV463">
        <v>1</v>
      </c>
      <c r="DW463">
        <v>0</v>
      </c>
      <c r="DX463">
        <v>0</v>
      </c>
      <c r="DY463">
        <v>0</v>
      </c>
      <c r="DZ463">
        <v>0</v>
      </c>
      <c r="EA463">
        <v>0</v>
      </c>
    </row>
    <row r="464" spans="1:131" x14ac:dyDescent="0.35">
      <c r="A464" s="2" t="str">
        <f>"17:48:40.273"</f>
        <v>17:48:40.273</v>
      </c>
      <c r="B464" s="4">
        <f t="shared" si="79"/>
        <v>64120.273000000001</v>
      </c>
      <c r="C464" s="4">
        <f t="shared" si="73"/>
        <v>520.27300000000105</v>
      </c>
      <c r="D464" s="3">
        <f t="shared" si="74"/>
        <v>0.7421327893518519</v>
      </c>
      <c r="E464" s="2">
        <f t="shared" si="75"/>
        <v>0.7421327893518519</v>
      </c>
      <c r="G464" t="str">
        <f t="shared" si="70"/>
        <v>FFDFD7C0</v>
      </c>
      <c r="H464" t="s">
        <v>126</v>
      </c>
      <c r="I464">
        <v>8</v>
      </c>
      <c r="J464">
        <v>1008</v>
      </c>
      <c r="K464" t="s">
        <v>129</v>
      </c>
      <c r="N464" t="s">
        <v>127</v>
      </c>
      <c r="O464">
        <v>0</v>
      </c>
      <c r="P464">
        <v>3</v>
      </c>
      <c r="Q464">
        <v>0</v>
      </c>
      <c r="R464">
        <v>2</v>
      </c>
      <c r="S464">
        <v>1</v>
      </c>
      <c r="T464">
        <v>0</v>
      </c>
      <c r="U464">
        <v>0</v>
      </c>
      <c r="W464" t="str">
        <f>"17:48:40.008"</f>
        <v>17:48:40.008</v>
      </c>
      <c r="X464" t="str">
        <f>"17:48:39.908"</f>
        <v>17:48:39.908</v>
      </c>
      <c r="Y464" t="str">
        <f t="shared" si="71"/>
        <v>A7C771</v>
      </c>
      <c r="Z464">
        <v>0</v>
      </c>
      <c r="AA464">
        <v>0</v>
      </c>
      <c r="AB464">
        <v>2</v>
      </c>
      <c r="AC464">
        <v>0</v>
      </c>
      <c r="AE464">
        <v>0</v>
      </c>
      <c r="AF464">
        <v>8</v>
      </c>
      <c r="AG464">
        <v>3</v>
      </c>
      <c r="AH464">
        <v>0</v>
      </c>
      <c r="AI464">
        <v>9</v>
      </c>
      <c r="AJ464" t="s">
        <v>125</v>
      </c>
      <c r="AK464">
        <v>0</v>
      </c>
      <c r="AL464">
        <v>3</v>
      </c>
      <c r="AM464">
        <v>2</v>
      </c>
      <c r="AN464">
        <v>1</v>
      </c>
      <c r="AO464" t="s">
        <v>977</v>
      </c>
      <c r="AP464">
        <v>43.112068000000001</v>
      </c>
      <c r="AQ464" t="s">
        <v>978</v>
      </c>
      <c r="AR464">
        <v>-77.570729</v>
      </c>
      <c r="AS464">
        <v>25</v>
      </c>
      <c r="AT464">
        <v>1550</v>
      </c>
      <c r="AU464" t="s">
        <v>123</v>
      </c>
      <c r="AV464">
        <v>-84</v>
      </c>
      <c r="AW464">
        <v>106</v>
      </c>
      <c r="AX464">
        <v>-64</v>
      </c>
      <c r="AZ464">
        <f t="shared" si="76"/>
        <v>7056</v>
      </c>
      <c r="BA464">
        <f t="shared" si="77"/>
        <v>11236</v>
      </c>
      <c r="BB464" s="1">
        <f t="shared" si="78"/>
        <v>135.2479205015737</v>
      </c>
      <c r="BJ464">
        <v>1404</v>
      </c>
      <c r="BK464">
        <v>1</v>
      </c>
      <c r="BL464" t="str">
        <f t="shared" si="72"/>
        <v xml:space="preserve">N600C   </v>
      </c>
      <c r="BM464">
        <v>2</v>
      </c>
      <c r="BO464">
        <v>0</v>
      </c>
      <c r="BP464">
        <v>0</v>
      </c>
      <c r="BQ464">
        <v>0</v>
      </c>
      <c r="BR464">
        <v>1750</v>
      </c>
      <c r="BS464">
        <v>200</v>
      </c>
      <c r="BT464" t="s">
        <v>128</v>
      </c>
      <c r="BU464">
        <v>0</v>
      </c>
      <c r="BV464">
        <v>0</v>
      </c>
      <c r="BW464">
        <v>0</v>
      </c>
      <c r="BX464">
        <v>1</v>
      </c>
      <c r="CA464">
        <v>0</v>
      </c>
      <c r="CB464">
        <v>0</v>
      </c>
      <c r="CC464">
        <v>0</v>
      </c>
      <c r="CM464" t="str">
        <f>"17:48:40.008"</f>
        <v>17:48:40.008</v>
      </c>
      <c r="CN464">
        <v>8129020</v>
      </c>
      <c r="CQ464">
        <v>0</v>
      </c>
      <c r="CR464">
        <v>2016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3</v>
      </c>
      <c r="DB464">
        <v>2</v>
      </c>
      <c r="DC464">
        <v>0</v>
      </c>
      <c r="DD464">
        <v>2</v>
      </c>
      <c r="DE464">
        <v>0</v>
      </c>
      <c r="DF464">
        <v>7</v>
      </c>
      <c r="DG464">
        <v>7</v>
      </c>
      <c r="DH464" t="s">
        <v>124</v>
      </c>
      <c r="DI464">
        <v>407</v>
      </c>
      <c r="DJ464">
        <v>3</v>
      </c>
      <c r="DK464" t="s">
        <v>132</v>
      </c>
      <c r="DL464" t="s">
        <v>133</v>
      </c>
      <c r="DO464">
        <v>1740450</v>
      </c>
      <c r="DQ464">
        <v>0</v>
      </c>
      <c r="DR464">
        <v>0</v>
      </c>
      <c r="DS464">
        <v>1</v>
      </c>
      <c r="DT464">
        <v>0</v>
      </c>
      <c r="DU464">
        <v>0</v>
      </c>
      <c r="DV464">
        <v>1</v>
      </c>
      <c r="DW464">
        <v>0</v>
      </c>
      <c r="DX464">
        <v>0</v>
      </c>
      <c r="DY464">
        <v>0</v>
      </c>
      <c r="DZ464">
        <v>0</v>
      </c>
      <c r="EA464">
        <v>0</v>
      </c>
    </row>
    <row r="465" spans="1:131" x14ac:dyDescent="0.35">
      <c r="A465" s="2" t="str">
        <f>"17:48:41.414"</f>
        <v>17:48:41.414</v>
      </c>
      <c r="B465" s="4">
        <f t="shared" si="79"/>
        <v>64121.41399999999</v>
      </c>
      <c r="C465" s="4">
        <f t="shared" si="73"/>
        <v>521.41399999998976</v>
      </c>
      <c r="D465" s="3">
        <f t="shared" si="74"/>
        <v>0.74214599537037029</v>
      </c>
      <c r="E465" s="2">
        <f t="shared" si="75"/>
        <v>0.74214599537037029</v>
      </c>
      <c r="G465" t="str">
        <f t="shared" si="70"/>
        <v>FFDFD7C0</v>
      </c>
      <c r="H465" t="s">
        <v>126</v>
      </c>
      <c r="I465">
        <v>8</v>
      </c>
      <c r="J465">
        <v>1008</v>
      </c>
      <c r="K465" t="s">
        <v>129</v>
      </c>
      <c r="N465" t="s">
        <v>127</v>
      </c>
      <c r="O465">
        <v>0</v>
      </c>
      <c r="P465">
        <v>3</v>
      </c>
      <c r="Q465">
        <v>0</v>
      </c>
      <c r="R465">
        <v>2</v>
      </c>
      <c r="S465">
        <v>1</v>
      </c>
      <c r="T465">
        <v>0</v>
      </c>
      <c r="U465">
        <v>0</v>
      </c>
      <c r="W465" t="str">
        <f>"17:48:41.133"</f>
        <v>17:48:41.133</v>
      </c>
      <c r="X465" t="str">
        <f>"17:48:40.933"</f>
        <v>17:48:40.933</v>
      </c>
      <c r="Y465" t="str">
        <f t="shared" si="71"/>
        <v>A7C771</v>
      </c>
      <c r="Z465">
        <v>0</v>
      </c>
      <c r="AA465">
        <v>0</v>
      </c>
      <c r="AB465">
        <v>2</v>
      </c>
      <c r="AC465">
        <v>0</v>
      </c>
      <c r="AE465">
        <v>0</v>
      </c>
      <c r="AF465">
        <v>8</v>
      </c>
      <c r="AG465">
        <v>3</v>
      </c>
      <c r="AH465">
        <v>0</v>
      </c>
      <c r="AI465">
        <v>9</v>
      </c>
      <c r="AJ465" t="s">
        <v>125</v>
      </c>
      <c r="AK465">
        <v>0</v>
      </c>
      <c r="AL465">
        <v>3</v>
      </c>
      <c r="AM465">
        <v>2</v>
      </c>
      <c r="AN465">
        <v>1</v>
      </c>
      <c r="AO465" t="s">
        <v>979</v>
      </c>
      <c r="AP465">
        <v>43.112605000000002</v>
      </c>
      <c r="AQ465" t="s">
        <v>707</v>
      </c>
      <c r="AR465">
        <v>-77.571330000000003</v>
      </c>
      <c r="AS465">
        <v>25</v>
      </c>
      <c r="AT465">
        <v>1550</v>
      </c>
      <c r="AU465" t="s">
        <v>123</v>
      </c>
      <c r="AV465">
        <v>-86</v>
      </c>
      <c r="AW465">
        <v>103</v>
      </c>
      <c r="AX465">
        <v>0</v>
      </c>
      <c r="AZ465">
        <f t="shared" si="76"/>
        <v>7396</v>
      </c>
      <c r="BA465">
        <f t="shared" si="77"/>
        <v>10609</v>
      </c>
      <c r="BB465" s="1">
        <f t="shared" si="78"/>
        <v>134.18271125595876</v>
      </c>
      <c r="BJ465">
        <v>1404</v>
      </c>
      <c r="BK465">
        <v>1</v>
      </c>
      <c r="BL465" t="str">
        <f t="shared" si="72"/>
        <v xml:space="preserve">N600C   </v>
      </c>
      <c r="BM465">
        <v>2</v>
      </c>
      <c r="BO465">
        <v>0</v>
      </c>
      <c r="BP465">
        <v>0</v>
      </c>
      <c r="BQ465">
        <v>0</v>
      </c>
      <c r="BR465">
        <v>1750</v>
      </c>
      <c r="BS465">
        <v>200</v>
      </c>
      <c r="BT465" t="s">
        <v>128</v>
      </c>
      <c r="BU465">
        <v>0</v>
      </c>
      <c r="BV465">
        <v>0</v>
      </c>
      <c r="BW465">
        <v>0</v>
      </c>
      <c r="BX465">
        <v>1</v>
      </c>
      <c r="CA465">
        <v>0</v>
      </c>
      <c r="CB465">
        <v>0</v>
      </c>
      <c r="CC465">
        <v>0</v>
      </c>
      <c r="CM465" t="str">
        <f>"17:48:41.136"</f>
        <v>17:48:41.136</v>
      </c>
      <c r="CN465">
        <v>136358528</v>
      </c>
      <c r="CQ465">
        <v>0</v>
      </c>
      <c r="CR465">
        <v>2016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3</v>
      </c>
      <c r="DB465">
        <v>2</v>
      </c>
      <c r="DC465">
        <v>0</v>
      </c>
      <c r="DD465">
        <v>2</v>
      </c>
      <c r="DE465">
        <v>0</v>
      </c>
      <c r="DF465">
        <v>7</v>
      </c>
      <c r="DG465">
        <v>7</v>
      </c>
      <c r="DH465" t="s">
        <v>124</v>
      </c>
      <c r="DI465">
        <v>407</v>
      </c>
      <c r="DJ465">
        <v>3</v>
      </c>
      <c r="DK465" t="s">
        <v>132</v>
      </c>
      <c r="DL465" t="s">
        <v>133</v>
      </c>
      <c r="DO465">
        <v>1741713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1</v>
      </c>
      <c r="DW465">
        <v>0</v>
      </c>
      <c r="DX465">
        <v>0</v>
      </c>
      <c r="DY465">
        <v>0</v>
      </c>
      <c r="DZ465">
        <v>0</v>
      </c>
      <c r="EA465">
        <v>0</v>
      </c>
    </row>
    <row r="466" spans="1:131" x14ac:dyDescent="0.35">
      <c r="A466" s="2" t="str">
        <f>"17:48:42.539"</f>
        <v>17:48:42.539</v>
      </c>
      <c r="B466" s="4">
        <f t="shared" si="79"/>
        <v>64122.53899999999</v>
      </c>
      <c r="C466" s="4">
        <f t="shared" si="73"/>
        <v>522.53899999998976</v>
      </c>
      <c r="D466" s="3">
        <f t="shared" si="74"/>
        <v>0.74215901620370361</v>
      </c>
      <c r="E466" s="2">
        <f t="shared" si="75"/>
        <v>0.74215901620370361</v>
      </c>
      <c r="G466" t="str">
        <f t="shared" si="70"/>
        <v>FFDFD7C0</v>
      </c>
      <c r="H466" t="s">
        <v>126</v>
      </c>
      <c r="I466">
        <v>8</v>
      </c>
      <c r="J466">
        <v>1008</v>
      </c>
      <c r="K466" t="s">
        <v>129</v>
      </c>
      <c r="N466" t="s">
        <v>127</v>
      </c>
      <c r="O466">
        <v>0</v>
      </c>
      <c r="P466">
        <v>3</v>
      </c>
      <c r="Q466">
        <v>0</v>
      </c>
      <c r="R466">
        <v>2</v>
      </c>
      <c r="S466">
        <v>1</v>
      </c>
      <c r="T466">
        <v>0</v>
      </c>
      <c r="U466">
        <v>0</v>
      </c>
      <c r="W466" t="str">
        <f>"17:48:42.141"</f>
        <v>17:48:42.141</v>
      </c>
      <c r="X466" t="str">
        <f>"17:48:42.041"</f>
        <v>17:48:42.041</v>
      </c>
      <c r="Y466" t="str">
        <f t="shared" si="71"/>
        <v>A7C771</v>
      </c>
      <c r="Z466">
        <v>0</v>
      </c>
      <c r="AA466">
        <v>0</v>
      </c>
      <c r="AB466">
        <v>2</v>
      </c>
      <c r="AC466">
        <v>0</v>
      </c>
      <c r="AE466">
        <v>0</v>
      </c>
      <c r="AF466">
        <v>8</v>
      </c>
      <c r="AG466">
        <v>3</v>
      </c>
      <c r="AH466">
        <v>0</v>
      </c>
      <c r="AI466">
        <v>9</v>
      </c>
      <c r="AJ466" t="s">
        <v>125</v>
      </c>
      <c r="AK466">
        <v>0</v>
      </c>
      <c r="AL466">
        <v>3</v>
      </c>
      <c r="AM466">
        <v>2</v>
      </c>
      <c r="AN466">
        <v>1</v>
      </c>
      <c r="AO466" t="s">
        <v>980</v>
      </c>
      <c r="AP466">
        <v>43.113055000000003</v>
      </c>
      <c r="AQ466" t="s">
        <v>981</v>
      </c>
      <c r="AR466">
        <v>-77.571909000000005</v>
      </c>
      <c r="AS466">
        <v>25</v>
      </c>
      <c r="AT466">
        <v>1550</v>
      </c>
      <c r="AU466" t="s">
        <v>123</v>
      </c>
      <c r="AV466">
        <v>-88</v>
      </c>
      <c r="AW466">
        <v>100</v>
      </c>
      <c r="AX466">
        <v>0</v>
      </c>
      <c r="AZ466">
        <f t="shared" si="76"/>
        <v>7744</v>
      </c>
      <c r="BA466">
        <f t="shared" si="77"/>
        <v>10000</v>
      </c>
      <c r="BB466" s="1">
        <f t="shared" si="78"/>
        <v>133.2066064427737</v>
      </c>
      <c r="BJ466">
        <v>1404</v>
      </c>
      <c r="BK466">
        <v>1</v>
      </c>
      <c r="BL466" t="str">
        <f t="shared" si="72"/>
        <v xml:space="preserve">N600C   </v>
      </c>
      <c r="BM466">
        <v>2</v>
      </c>
      <c r="BO466">
        <v>0</v>
      </c>
      <c r="BP466">
        <v>0</v>
      </c>
      <c r="BQ466">
        <v>0</v>
      </c>
      <c r="BR466">
        <v>1750</v>
      </c>
      <c r="BS466">
        <v>200</v>
      </c>
      <c r="BT466" t="s">
        <v>128</v>
      </c>
      <c r="BU466">
        <v>0</v>
      </c>
      <c r="BV466">
        <v>0</v>
      </c>
      <c r="BW466">
        <v>0</v>
      </c>
      <c r="BX466">
        <v>1</v>
      </c>
      <c r="CA466">
        <v>0</v>
      </c>
      <c r="CB466">
        <v>0</v>
      </c>
      <c r="CC466">
        <v>0</v>
      </c>
      <c r="CM466" t="str">
        <f>"17:48:42.145"</f>
        <v>17:48:42.145</v>
      </c>
      <c r="CN466">
        <v>144525540</v>
      </c>
      <c r="CQ466">
        <v>0</v>
      </c>
      <c r="CR466">
        <v>2016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3</v>
      </c>
      <c r="DB466">
        <v>2</v>
      </c>
      <c r="DC466">
        <v>0</v>
      </c>
      <c r="DD466">
        <v>2</v>
      </c>
      <c r="DE466">
        <v>0</v>
      </c>
      <c r="DF466">
        <v>7</v>
      </c>
      <c r="DG466">
        <v>7</v>
      </c>
      <c r="DH466" t="s">
        <v>124</v>
      </c>
      <c r="DI466">
        <v>407</v>
      </c>
      <c r="DJ466">
        <v>3</v>
      </c>
      <c r="DK466" t="s">
        <v>132</v>
      </c>
      <c r="DL466" t="s">
        <v>133</v>
      </c>
      <c r="DO466">
        <v>1742780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1</v>
      </c>
      <c r="DW466">
        <v>0</v>
      </c>
      <c r="DX466">
        <v>0</v>
      </c>
      <c r="DY466">
        <v>0</v>
      </c>
      <c r="DZ466">
        <v>0</v>
      </c>
      <c r="EA466">
        <v>0</v>
      </c>
    </row>
    <row r="467" spans="1:131" x14ac:dyDescent="0.35">
      <c r="A467" s="2" t="str">
        <f>"17:48:43.367"</f>
        <v>17:48:43.367</v>
      </c>
      <c r="B467" s="4">
        <f t="shared" si="79"/>
        <v>64123.367000000006</v>
      </c>
      <c r="C467" s="4">
        <f t="shared" si="73"/>
        <v>523.36700000000565</v>
      </c>
      <c r="D467" s="3">
        <f t="shared" si="74"/>
        <v>0.74216859953703707</v>
      </c>
      <c r="E467" s="2">
        <f t="shared" si="75"/>
        <v>0.74216859953703707</v>
      </c>
      <c r="G467" t="str">
        <f t="shared" si="70"/>
        <v>FFDFD7C0</v>
      </c>
      <c r="H467" t="s">
        <v>126</v>
      </c>
      <c r="I467">
        <v>8</v>
      </c>
      <c r="J467">
        <v>1008</v>
      </c>
      <c r="K467" t="s">
        <v>129</v>
      </c>
      <c r="N467" t="s">
        <v>127</v>
      </c>
      <c r="O467">
        <v>0</v>
      </c>
      <c r="P467">
        <v>3</v>
      </c>
      <c r="Q467">
        <v>0</v>
      </c>
      <c r="R467">
        <v>2</v>
      </c>
      <c r="S467">
        <v>1</v>
      </c>
      <c r="T467">
        <v>0</v>
      </c>
      <c r="U467">
        <v>0</v>
      </c>
      <c r="W467" t="str">
        <f>"17:48:43.102"</f>
        <v>17:48:43.102</v>
      </c>
      <c r="X467" t="str">
        <f>"17:48:43.102"</f>
        <v>17:48:43.102</v>
      </c>
      <c r="Y467" t="str">
        <f t="shared" si="71"/>
        <v>A7C771</v>
      </c>
      <c r="Z467">
        <v>0</v>
      </c>
      <c r="AA467">
        <v>0</v>
      </c>
      <c r="AB467">
        <v>2</v>
      </c>
      <c r="AC467">
        <v>0</v>
      </c>
      <c r="AE467">
        <v>0</v>
      </c>
      <c r="AF467">
        <v>8</v>
      </c>
      <c r="AG467">
        <v>3</v>
      </c>
      <c r="AH467">
        <v>0</v>
      </c>
      <c r="AI467">
        <v>9</v>
      </c>
      <c r="AJ467" t="s">
        <v>125</v>
      </c>
      <c r="AK467">
        <v>0</v>
      </c>
      <c r="AL467">
        <v>3</v>
      </c>
      <c r="AM467">
        <v>2</v>
      </c>
      <c r="AN467">
        <v>1</v>
      </c>
      <c r="AO467" t="s">
        <v>982</v>
      </c>
      <c r="AP467">
        <v>43.113419999999998</v>
      </c>
      <c r="AQ467" t="s">
        <v>983</v>
      </c>
      <c r="AR467">
        <v>-77.572445999999999</v>
      </c>
      <c r="AS467">
        <v>25</v>
      </c>
      <c r="AT467">
        <v>1550</v>
      </c>
      <c r="AU467" t="s">
        <v>123</v>
      </c>
      <c r="AV467">
        <v>-90</v>
      </c>
      <c r="AW467">
        <v>97</v>
      </c>
      <c r="AX467">
        <v>64</v>
      </c>
      <c r="AZ467">
        <f t="shared" si="76"/>
        <v>8100</v>
      </c>
      <c r="BA467">
        <f t="shared" si="77"/>
        <v>9409</v>
      </c>
      <c r="BB467" s="1">
        <f t="shared" si="78"/>
        <v>132.32157798333574</v>
      </c>
      <c r="BJ467">
        <v>1404</v>
      </c>
      <c r="BK467">
        <v>1</v>
      </c>
      <c r="BL467" t="str">
        <f t="shared" si="72"/>
        <v xml:space="preserve">N600C   </v>
      </c>
      <c r="BM467">
        <v>2</v>
      </c>
      <c r="BO467">
        <v>0</v>
      </c>
      <c r="BP467">
        <v>0</v>
      </c>
      <c r="BQ467">
        <v>0</v>
      </c>
      <c r="BR467">
        <v>1725</v>
      </c>
      <c r="BS467">
        <v>175</v>
      </c>
      <c r="BT467" t="s">
        <v>128</v>
      </c>
      <c r="BU467">
        <v>0</v>
      </c>
      <c r="BV467">
        <v>0</v>
      </c>
      <c r="BW467">
        <v>0</v>
      </c>
      <c r="BX467">
        <v>1</v>
      </c>
      <c r="CA467">
        <v>0</v>
      </c>
      <c r="CB467">
        <v>0</v>
      </c>
      <c r="CC467">
        <v>0</v>
      </c>
      <c r="CM467" t="str">
        <f>"17:48:43.105"</f>
        <v>17:48:43.105</v>
      </c>
      <c r="CN467">
        <v>104709921</v>
      </c>
      <c r="CQ467">
        <v>0</v>
      </c>
      <c r="CR467">
        <v>2016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3</v>
      </c>
      <c r="DB467">
        <v>2</v>
      </c>
      <c r="DC467">
        <v>0</v>
      </c>
      <c r="DD467">
        <v>2</v>
      </c>
      <c r="DE467">
        <v>0</v>
      </c>
      <c r="DF467">
        <v>6</v>
      </c>
      <c r="DG467">
        <v>7</v>
      </c>
      <c r="DH467" t="s">
        <v>124</v>
      </c>
      <c r="DI467">
        <v>71</v>
      </c>
      <c r="DJ467">
        <v>1</v>
      </c>
      <c r="DK467" t="s">
        <v>134</v>
      </c>
      <c r="DL467" t="s">
        <v>135</v>
      </c>
      <c r="DO467">
        <v>11651780</v>
      </c>
      <c r="DQ467">
        <v>0</v>
      </c>
      <c r="DR467">
        <v>0</v>
      </c>
      <c r="DS467">
        <v>1</v>
      </c>
      <c r="DT467">
        <v>0</v>
      </c>
      <c r="DU467">
        <v>0</v>
      </c>
      <c r="DV467">
        <v>1</v>
      </c>
      <c r="DW467">
        <v>0</v>
      </c>
      <c r="DX467">
        <v>0</v>
      </c>
      <c r="DY467">
        <v>0</v>
      </c>
      <c r="DZ467">
        <v>0</v>
      </c>
      <c r="EA467">
        <v>0</v>
      </c>
    </row>
    <row r="468" spans="1:131" x14ac:dyDescent="0.35">
      <c r="A468" s="2" t="str">
        <f>"17:48:44.522"</f>
        <v>17:48:44.522</v>
      </c>
      <c r="B468" s="4">
        <f t="shared" si="79"/>
        <v>64124.521999999997</v>
      </c>
      <c r="C468" s="4">
        <f t="shared" si="73"/>
        <v>524.52199999999721</v>
      </c>
      <c r="D468" s="3">
        <f t="shared" si="74"/>
        <v>0.74218196759259258</v>
      </c>
      <c r="E468" s="2">
        <f t="shared" si="75"/>
        <v>0.74218196759259258</v>
      </c>
      <c r="G468" t="str">
        <f t="shared" si="70"/>
        <v>FFDFD7C0</v>
      </c>
      <c r="H468" t="s">
        <v>126</v>
      </c>
      <c r="I468">
        <v>8</v>
      </c>
      <c r="J468">
        <v>1008</v>
      </c>
      <c r="K468" t="s">
        <v>129</v>
      </c>
      <c r="N468" t="s">
        <v>127</v>
      </c>
      <c r="O468">
        <v>0</v>
      </c>
      <c r="P468">
        <v>3</v>
      </c>
      <c r="Q468">
        <v>0</v>
      </c>
      <c r="R468">
        <v>2</v>
      </c>
      <c r="S468">
        <v>1</v>
      </c>
      <c r="T468">
        <v>0</v>
      </c>
      <c r="U468">
        <v>0</v>
      </c>
      <c r="W468" t="str">
        <f>"17:48:44.023"</f>
        <v>17:48:44.023</v>
      </c>
      <c r="X468" t="str">
        <f>"17:48:44.023"</f>
        <v>17:48:44.023</v>
      </c>
      <c r="Y468" t="str">
        <f t="shared" si="71"/>
        <v>A7C771</v>
      </c>
      <c r="Z468">
        <v>0</v>
      </c>
      <c r="AA468">
        <v>0</v>
      </c>
      <c r="AB468">
        <v>2</v>
      </c>
      <c r="AC468">
        <v>0</v>
      </c>
      <c r="AE468">
        <v>0</v>
      </c>
      <c r="AF468">
        <v>8</v>
      </c>
      <c r="AG468">
        <v>3</v>
      </c>
      <c r="AH468">
        <v>0</v>
      </c>
      <c r="AI468">
        <v>9</v>
      </c>
      <c r="AJ468" t="s">
        <v>125</v>
      </c>
      <c r="AK468">
        <v>0</v>
      </c>
      <c r="AL468">
        <v>3</v>
      </c>
      <c r="AM468">
        <v>2</v>
      </c>
      <c r="AN468">
        <v>1</v>
      </c>
      <c r="AO468" t="s">
        <v>984</v>
      </c>
      <c r="AP468">
        <v>43.113849000000002</v>
      </c>
      <c r="AQ468" t="s">
        <v>985</v>
      </c>
      <c r="AR468">
        <v>-77.573025000000001</v>
      </c>
      <c r="AS468">
        <v>25</v>
      </c>
      <c r="AT468">
        <v>1550</v>
      </c>
      <c r="AU468" t="s">
        <v>123</v>
      </c>
      <c r="AV468">
        <v>-92</v>
      </c>
      <c r="AW468">
        <v>93</v>
      </c>
      <c r="AX468">
        <v>256</v>
      </c>
      <c r="AZ468">
        <f t="shared" si="76"/>
        <v>8464</v>
      </c>
      <c r="BA468">
        <f t="shared" si="77"/>
        <v>8649</v>
      </c>
      <c r="BB468" s="1">
        <f t="shared" si="78"/>
        <v>130.81666560496029</v>
      </c>
      <c r="BJ468">
        <v>1404</v>
      </c>
      <c r="BK468">
        <v>1</v>
      </c>
      <c r="BL468" t="str">
        <f t="shared" si="72"/>
        <v xml:space="preserve">N600C   </v>
      </c>
      <c r="BM468">
        <v>2</v>
      </c>
      <c r="BO468">
        <v>0</v>
      </c>
      <c r="BP468">
        <v>0</v>
      </c>
      <c r="BQ468">
        <v>0</v>
      </c>
      <c r="BR468">
        <v>1725</v>
      </c>
      <c r="BS468">
        <v>175</v>
      </c>
      <c r="BT468" t="s">
        <v>128</v>
      </c>
      <c r="BU468">
        <v>0</v>
      </c>
      <c r="BV468">
        <v>0</v>
      </c>
      <c r="BW468">
        <v>0</v>
      </c>
      <c r="BX468">
        <v>1</v>
      </c>
      <c r="CA468">
        <v>0</v>
      </c>
      <c r="CB468">
        <v>0</v>
      </c>
      <c r="CC468">
        <v>0</v>
      </c>
      <c r="CM468" t="str">
        <f>"17:48:44.025"</f>
        <v>17:48:44.025</v>
      </c>
      <c r="CN468">
        <v>24883616</v>
      </c>
      <c r="CQ468">
        <v>0</v>
      </c>
      <c r="CR468">
        <v>2016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3</v>
      </c>
      <c r="DB468">
        <v>2</v>
      </c>
      <c r="DC468">
        <v>0</v>
      </c>
      <c r="DD468">
        <v>2</v>
      </c>
      <c r="DE468">
        <v>0</v>
      </c>
      <c r="DF468">
        <v>6</v>
      </c>
      <c r="DG468">
        <v>7</v>
      </c>
      <c r="DH468" t="s">
        <v>124</v>
      </c>
      <c r="DI468">
        <v>71</v>
      </c>
      <c r="DJ468">
        <v>0</v>
      </c>
      <c r="DK468" t="s">
        <v>134</v>
      </c>
      <c r="DL468" t="s">
        <v>135</v>
      </c>
      <c r="DO468">
        <v>10283733</v>
      </c>
      <c r="DQ468">
        <v>0</v>
      </c>
      <c r="DR468">
        <v>0</v>
      </c>
      <c r="DS468">
        <v>1</v>
      </c>
      <c r="DT468">
        <v>0</v>
      </c>
      <c r="DU468">
        <v>0</v>
      </c>
      <c r="DV468">
        <v>1</v>
      </c>
      <c r="DW468">
        <v>0</v>
      </c>
      <c r="DX468">
        <v>0</v>
      </c>
      <c r="DY468">
        <v>0</v>
      </c>
      <c r="DZ468">
        <v>0</v>
      </c>
      <c r="EA468">
        <v>0</v>
      </c>
    </row>
    <row r="469" spans="1:131" x14ac:dyDescent="0.35">
      <c r="A469" s="2" t="str">
        <f>"17:48:45.381"</f>
        <v>17:48:45.381</v>
      </c>
      <c r="B469" s="4">
        <f t="shared" si="79"/>
        <v>64125.381000000001</v>
      </c>
      <c r="C469" s="4">
        <f t="shared" si="73"/>
        <v>525.38100000000122</v>
      </c>
      <c r="D469" s="3">
        <f t="shared" si="74"/>
        <v>0.74219190972222226</v>
      </c>
      <c r="E469" s="2">
        <f t="shared" si="75"/>
        <v>0.74219190972222226</v>
      </c>
      <c r="G469" t="str">
        <f t="shared" si="70"/>
        <v>FFDFD7C0</v>
      </c>
      <c r="H469" t="s">
        <v>126</v>
      </c>
      <c r="I469">
        <v>8</v>
      </c>
      <c r="J469">
        <v>1008</v>
      </c>
      <c r="K469" t="s">
        <v>129</v>
      </c>
      <c r="N469" t="s">
        <v>127</v>
      </c>
      <c r="O469">
        <v>0</v>
      </c>
      <c r="P469">
        <v>3</v>
      </c>
      <c r="Q469">
        <v>0</v>
      </c>
      <c r="R469">
        <v>2</v>
      </c>
      <c r="S469">
        <v>1</v>
      </c>
      <c r="T469">
        <v>0</v>
      </c>
      <c r="U469">
        <v>0</v>
      </c>
      <c r="W469" t="str">
        <f>"17:48:45.164"</f>
        <v>17:48:45.164</v>
      </c>
      <c r="X469" t="str">
        <f>"17:48:44.964"</f>
        <v>17:48:44.964</v>
      </c>
      <c r="Y469" t="str">
        <f t="shared" si="71"/>
        <v>A7C771</v>
      </c>
      <c r="Z469">
        <v>0</v>
      </c>
      <c r="AA469">
        <v>0</v>
      </c>
      <c r="AB469">
        <v>2</v>
      </c>
      <c r="AC469">
        <v>0</v>
      </c>
      <c r="AE469">
        <v>0</v>
      </c>
      <c r="AF469">
        <v>8</v>
      </c>
      <c r="AG469">
        <v>3</v>
      </c>
      <c r="AH469">
        <v>0</v>
      </c>
      <c r="AI469">
        <v>9</v>
      </c>
      <c r="AJ469" t="s">
        <v>125</v>
      </c>
      <c r="AK469">
        <v>0</v>
      </c>
      <c r="AL469">
        <v>3</v>
      </c>
      <c r="AM469">
        <v>2</v>
      </c>
      <c r="AN469">
        <v>1</v>
      </c>
      <c r="AO469" t="s">
        <v>986</v>
      </c>
      <c r="AP469">
        <v>43.114277999999999</v>
      </c>
      <c r="AQ469" t="s">
        <v>987</v>
      </c>
      <c r="AR469">
        <v>-77.573689999999999</v>
      </c>
      <c r="AS469">
        <v>25</v>
      </c>
      <c r="AT469">
        <v>1550</v>
      </c>
      <c r="AU469" t="s">
        <v>123</v>
      </c>
      <c r="AV469">
        <v>-94</v>
      </c>
      <c r="AW469">
        <v>90</v>
      </c>
      <c r="AX469">
        <v>256</v>
      </c>
      <c r="AZ469">
        <f t="shared" si="76"/>
        <v>8836</v>
      </c>
      <c r="BA469">
        <f t="shared" si="77"/>
        <v>8100</v>
      </c>
      <c r="BB469" s="1">
        <f t="shared" si="78"/>
        <v>130.13838787997952</v>
      </c>
      <c r="BJ469">
        <v>1404</v>
      </c>
      <c r="BK469">
        <v>1</v>
      </c>
      <c r="BL469" t="str">
        <f t="shared" si="72"/>
        <v xml:space="preserve">N600C   </v>
      </c>
      <c r="BM469">
        <v>2</v>
      </c>
      <c r="BO469">
        <v>0</v>
      </c>
      <c r="BP469">
        <v>0</v>
      </c>
      <c r="BQ469">
        <v>0</v>
      </c>
      <c r="BR469">
        <v>1725</v>
      </c>
      <c r="BS469">
        <v>175</v>
      </c>
      <c r="BT469" t="s">
        <v>128</v>
      </c>
      <c r="BU469">
        <v>0</v>
      </c>
      <c r="BV469">
        <v>0</v>
      </c>
      <c r="BW469">
        <v>0</v>
      </c>
      <c r="BX469">
        <v>1</v>
      </c>
      <c r="CA469">
        <v>0</v>
      </c>
      <c r="CB469">
        <v>0</v>
      </c>
      <c r="CC469">
        <v>0</v>
      </c>
      <c r="CM469" t="str">
        <f>"17:48:45.169"</f>
        <v>17:48:45.169</v>
      </c>
      <c r="CN469">
        <v>169086974</v>
      </c>
      <c r="CQ469">
        <v>0</v>
      </c>
      <c r="CR469">
        <v>2016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3</v>
      </c>
      <c r="DB469">
        <v>2</v>
      </c>
      <c r="DC469">
        <v>0</v>
      </c>
      <c r="DD469">
        <v>2</v>
      </c>
      <c r="DE469">
        <v>0</v>
      </c>
      <c r="DF469">
        <v>7</v>
      </c>
      <c r="DG469">
        <v>7</v>
      </c>
      <c r="DH469" t="s">
        <v>124</v>
      </c>
      <c r="DI469">
        <v>407</v>
      </c>
      <c r="DJ469">
        <v>3</v>
      </c>
      <c r="DK469" t="s">
        <v>132</v>
      </c>
      <c r="DL469" t="s">
        <v>133</v>
      </c>
      <c r="DO469">
        <v>1745685</v>
      </c>
      <c r="DQ469">
        <v>0</v>
      </c>
      <c r="DR469">
        <v>0</v>
      </c>
      <c r="DS469">
        <v>1</v>
      </c>
      <c r="DT469">
        <v>0</v>
      </c>
      <c r="DU469">
        <v>0</v>
      </c>
      <c r="DV469">
        <v>1</v>
      </c>
      <c r="DW469">
        <v>0</v>
      </c>
      <c r="DX469">
        <v>0</v>
      </c>
      <c r="DY469">
        <v>0</v>
      </c>
      <c r="DZ469">
        <v>0</v>
      </c>
      <c r="EA469">
        <v>0</v>
      </c>
    </row>
    <row r="470" spans="1:131" x14ac:dyDescent="0.35">
      <c r="A470" s="2" t="str">
        <f>"17:48:46.522"</f>
        <v>17:48:46.522</v>
      </c>
      <c r="B470" s="4">
        <f t="shared" si="79"/>
        <v>64126.52199999999</v>
      </c>
      <c r="C470" s="4">
        <f t="shared" si="73"/>
        <v>526.52199999998993</v>
      </c>
      <c r="D470" s="3">
        <f t="shared" si="74"/>
        <v>0.74220511574074066</v>
      </c>
      <c r="E470" s="2">
        <f t="shared" si="75"/>
        <v>0.74220511574074066</v>
      </c>
      <c r="G470" t="str">
        <f t="shared" si="70"/>
        <v>FFDFD7C0</v>
      </c>
      <c r="H470" t="s">
        <v>126</v>
      </c>
      <c r="I470">
        <v>8</v>
      </c>
      <c r="J470">
        <v>1008</v>
      </c>
      <c r="K470" t="s">
        <v>129</v>
      </c>
      <c r="N470" t="s">
        <v>127</v>
      </c>
      <c r="O470">
        <v>0</v>
      </c>
      <c r="P470">
        <v>3</v>
      </c>
      <c r="Q470">
        <v>0</v>
      </c>
      <c r="R470">
        <v>2</v>
      </c>
      <c r="S470">
        <v>1</v>
      </c>
      <c r="T470">
        <v>0</v>
      </c>
      <c r="U470">
        <v>0</v>
      </c>
      <c r="W470" t="str">
        <f>"17:48:46.227"</f>
        <v>17:48:46.227</v>
      </c>
      <c r="X470" t="str">
        <f>"17:48:45.927"</f>
        <v>17:48:45.927</v>
      </c>
      <c r="Y470" t="str">
        <f t="shared" si="71"/>
        <v>A7C771</v>
      </c>
      <c r="Z470">
        <v>0</v>
      </c>
      <c r="AA470">
        <v>0</v>
      </c>
      <c r="AB470">
        <v>2</v>
      </c>
      <c r="AC470">
        <v>0</v>
      </c>
      <c r="AE470">
        <v>0</v>
      </c>
      <c r="AF470">
        <v>8</v>
      </c>
      <c r="AG470">
        <v>3</v>
      </c>
      <c r="AH470">
        <v>0</v>
      </c>
      <c r="AI470">
        <v>9</v>
      </c>
      <c r="AJ470" t="s">
        <v>125</v>
      </c>
      <c r="AK470">
        <v>0</v>
      </c>
      <c r="AL470">
        <v>3</v>
      </c>
      <c r="AM470">
        <v>2</v>
      </c>
      <c r="AN470">
        <v>1</v>
      </c>
      <c r="AO470" t="s">
        <v>988</v>
      </c>
      <c r="AP470">
        <v>43.114728999999997</v>
      </c>
      <c r="AQ470" t="s">
        <v>989</v>
      </c>
      <c r="AR470">
        <v>-77.574333999999993</v>
      </c>
      <c r="AS470">
        <v>25</v>
      </c>
      <c r="AT470">
        <v>1575</v>
      </c>
      <c r="AU470" t="s">
        <v>123</v>
      </c>
      <c r="AV470">
        <v>-96</v>
      </c>
      <c r="AW470">
        <v>86</v>
      </c>
      <c r="AX470">
        <v>192</v>
      </c>
      <c r="AZ470">
        <f t="shared" si="76"/>
        <v>9216</v>
      </c>
      <c r="BA470">
        <f t="shared" si="77"/>
        <v>7396</v>
      </c>
      <c r="BB470" s="1">
        <f t="shared" si="78"/>
        <v>128.8875478857442</v>
      </c>
      <c r="BJ470">
        <v>1404</v>
      </c>
      <c r="BK470">
        <v>1</v>
      </c>
      <c r="BL470" t="str">
        <f t="shared" si="72"/>
        <v xml:space="preserve">N600C   </v>
      </c>
      <c r="BM470">
        <v>2</v>
      </c>
      <c r="BO470">
        <v>0</v>
      </c>
      <c r="BP470">
        <v>0</v>
      </c>
      <c r="BQ470">
        <v>0</v>
      </c>
      <c r="BR470">
        <v>1775</v>
      </c>
      <c r="BS470">
        <v>200</v>
      </c>
      <c r="BT470" t="s">
        <v>128</v>
      </c>
      <c r="BU470">
        <v>0</v>
      </c>
      <c r="BV470">
        <v>0</v>
      </c>
      <c r="BW470">
        <v>0</v>
      </c>
      <c r="BX470">
        <v>1</v>
      </c>
      <c r="CA470">
        <v>0</v>
      </c>
      <c r="CB470">
        <v>0</v>
      </c>
      <c r="CC470">
        <v>0</v>
      </c>
      <c r="CM470" t="str">
        <f>"17:48:46.233"</f>
        <v>17:48:46.233</v>
      </c>
      <c r="CN470">
        <v>233300104</v>
      </c>
      <c r="CQ470">
        <v>0</v>
      </c>
      <c r="CR470">
        <v>2016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3</v>
      </c>
      <c r="DB470">
        <v>2</v>
      </c>
      <c r="DC470">
        <v>0</v>
      </c>
      <c r="DD470">
        <v>2</v>
      </c>
      <c r="DE470">
        <v>0</v>
      </c>
      <c r="DF470">
        <v>6</v>
      </c>
      <c r="DG470">
        <v>7</v>
      </c>
      <c r="DH470" t="s">
        <v>124</v>
      </c>
      <c r="DI470">
        <v>71</v>
      </c>
      <c r="DJ470">
        <v>1</v>
      </c>
      <c r="DK470" t="s">
        <v>134</v>
      </c>
      <c r="DL470" t="s">
        <v>135</v>
      </c>
      <c r="DO470">
        <v>11654284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1</v>
      </c>
      <c r="DW470">
        <v>0</v>
      </c>
      <c r="DX470">
        <v>0</v>
      </c>
      <c r="DY470">
        <v>0</v>
      </c>
      <c r="DZ470">
        <v>0</v>
      </c>
      <c r="EA470">
        <v>0</v>
      </c>
    </row>
    <row r="471" spans="1:131" x14ac:dyDescent="0.35">
      <c r="A471" s="2" t="str">
        <f>"17:48:47.647"</f>
        <v>17:48:47.647</v>
      </c>
      <c r="B471" s="4">
        <f t="shared" si="79"/>
        <v>64127.647000000004</v>
      </c>
      <c r="C471" s="4">
        <f t="shared" si="73"/>
        <v>527.64700000000448</v>
      </c>
      <c r="D471" s="3">
        <f t="shared" si="74"/>
        <v>0.74221813657407409</v>
      </c>
      <c r="E471" s="2">
        <f t="shared" si="75"/>
        <v>0.74221813657407409</v>
      </c>
      <c r="G471" t="str">
        <f t="shared" si="70"/>
        <v>FFDFD7C0</v>
      </c>
      <c r="H471" t="s">
        <v>126</v>
      </c>
      <c r="I471">
        <v>8</v>
      </c>
      <c r="J471">
        <v>1008</v>
      </c>
      <c r="K471" t="s">
        <v>129</v>
      </c>
      <c r="N471" t="s">
        <v>127</v>
      </c>
      <c r="O471">
        <v>0</v>
      </c>
      <c r="P471">
        <v>3</v>
      </c>
      <c r="Q471">
        <v>0</v>
      </c>
      <c r="R471">
        <v>2</v>
      </c>
      <c r="S471">
        <v>1</v>
      </c>
      <c r="T471">
        <v>0</v>
      </c>
      <c r="U471">
        <v>0</v>
      </c>
      <c r="W471" t="str">
        <f>"17:48:47.328"</f>
        <v>17:48:47.328</v>
      </c>
      <c r="X471" t="str">
        <f>"17:48:47.128"</f>
        <v>17:48:47.128</v>
      </c>
      <c r="Y471" t="str">
        <f t="shared" si="71"/>
        <v>A7C771</v>
      </c>
      <c r="Z471">
        <v>0</v>
      </c>
      <c r="AA471">
        <v>0</v>
      </c>
      <c r="AB471">
        <v>2</v>
      </c>
      <c r="AC471">
        <v>0</v>
      </c>
      <c r="AE471">
        <v>0</v>
      </c>
      <c r="AF471">
        <v>8</v>
      </c>
      <c r="AG471">
        <v>3</v>
      </c>
      <c r="AH471">
        <v>0</v>
      </c>
      <c r="AI471">
        <v>9</v>
      </c>
      <c r="AJ471" t="s">
        <v>125</v>
      </c>
      <c r="AK471">
        <v>0</v>
      </c>
      <c r="AL471">
        <v>3</v>
      </c>
      <c r="AM471">
        <v>2</v>
      </c>
      <c r="AN471">
        <v>1</v>
      </c>
      <c r="AO471" t="s">
        <v>990</v>
      </c>
      <c r="AP471">
        <v>43.115115000000003</v>
      </c>
      <c r="AQ471" t="s">
        <v>991</v>
      </c>
      <c r="AR471">
        <v>-77.575041999999996</v>
      </c>
      <c r="AS471">
        <v>25</v>
      </c>
      <c r="AT471">
        <v>1575</v>
      </c>
      <c r="AU471" t="s">
        <v>123</v>
      </c>
      <c r="AV471">
        <v>-98</v>
      </c>
      <c r="AW471">
        <v>82</v>
      </c>
      <c r="AX471">
        <v>64</v>
      </c>
      <c r="AZ471">
        <f t="shared" si="76"/>
        <v>9604</v>
      </c>
      <c r="BA471">
        <f t="shared" si="77"/>
        <v>6724</v>
      </c>
      <c r="BB471" s="1">
        <f t="shared" si="78"/>
        <v>127.7810627597063</v>
      </c>
      <c r="BJ471">
        <v>1404</v>
      </c>
      <c r="BK471">
        <v>1</v>
      </c>
      <c r="BL471" t="str">
        <f t="shared" si="72"/>
        <v xml:space="preserve">N600C   </v>
      </c>
      <c r="BM471">
        <v>2</v>
      </c>
      <c r="BO471">
        <v>0</v>
      </c>
      <c r="BP471">
        <v>0</v>
      </c>
      <c r="BQ471">
        <v>0</v>
      </c>
      <c r="BR471">
        <v>1775</v>
      </c>
      <c r="BS471">
        <v>200</v>
      </c>
      <c r="BT471" t="s">
        <v>128</v>
      </c>
      <c r="BU471">
        <v>0</v>
      </c>
      <c r="BV471">
        <v>0</v>
      </c>
      <c r="BW471">
        <v>0</v>
      </c>
      <c r="BX471">
        <v>1</v>
      </c>
      <c r="CA471">
        <v>0</v>
      </c>
      <c r="CB471">
        <v>0</v>
      </c>
      <c r="CC471">
        <v>0</v>
      </c>
      <c r="CM471" t="str">
        <f>"17:48:47.329"</f>
        <v>17:48:47.329</v>
      </c>
      <c r="CN471">
        <v>329491351</v>
      </c>
      <c r="CQ471">
        <v>0</v>
      </c>
      <c r="CR471">
        <v>2016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3</v>
      </c>
      <c r="DB471">
        <v>2</v>
      </c>
      <c r="DC471">
        <v>0</v>
      </c>
      <c r="DD471">
        <v>2</v>
      </c>
      <c r="DE471">
        <v>0</v>
      </c>
      <c r="DF471">
        <v>7</v>
      </c>
      <c r="DG471">
        <v>7</v>
      </c>
      <c r="DH471" t="s">
        <v>124</v>
      </c>
      <c r="DI471">
        <v>407</v>
      </c>
      <c r="DJ471">
        <v>3</v>
      </c>
      <c r="DK471" t="s">
        <v>132</v>
      </c>
      <c r="DL471" t="s">
        <v>133</v>
      </c>
      <c r="DO471">
        <v>1747836</v>
      </c>
      <c r="DQ471">
        <v>0</v>
      </c>
      <c r="DR471">
        <v>0</v>
      </c>
      <c r="DS471">
        <v>1</v>
      </c>
      <c r="DT471">
        <v>0</v>
      </c>
      <c r="DU471">
        <v>0</v>
      </c>
      <c r="DV471">
        <v>1</v>
      </c>
      <c r="DW471">
        <v>0</v>
      </c>
      <c r="DX471">
        <v>0</v>
      </c>
      <c r="DY471">
        <v>0</v>
      </c>
      <c r="DZ471">
        <v>0</v>
      </c>
      <c r="EA471">
        <v>0</v>
      </c>
    </row>
    <row r="472" spans="1:131" x14ac:dyDescent="0.35">
      <c r="A472" s="2" t="str">
        <f>"17:48:48.710"</f>
        <v>17:48:48.710</v>
      </c>
      <c r="B472" s="4">
        <f t="shared" si="79"/>
        <v>64128.71</v>
      </c>
      <c r="C472" s="4">
        <f t="shared" si="73"/>
        <v>528.70999999999913</v>
      </c>
      <c r="D472" s="3">
        <f t="shared" si="74"/>
        <v>0.74223043981481485</v>
      </c>
      <c r="E472" s="2">
        <f t="shared" si="75"/>
        <v>0.74223043981481485</v>
      </c>
      <c r="G472" t="str">
        <f t="shared" si="70"/>
        <v>FFDFD7C0</v>
      </c>
      <c r="H472" t="s">
        <v>126</v>
      </c>
      <c r="I472">
        <v>8</v>
      </c>
      <c r="J472">
        <v>1008</v>
      </c>
      <c r="K472" t="s">
        <v>129</v>
      </c>
      <c r="N472" t="s">
        <v>127</v>
      </c>
      <c r="O472">
        <v>0</v>
      </c>
      <c r="P472">
        <v>3</v>
      </c>
      <c r="Q472">
        <v>0</v>
      </c>
      <c r="R472">
        <v>2</v>
      </c>
      <c r="S472">
        <v>1</v>
      </c>
      <c r="T472">
        <v>0</v>
      </c>
      <c r="U472">
        <v>0</v>
      </c>
      <c r="W472" t="str">
        <f>"17:48:48.383"</f>
        <v>17:48:48.383</v>
      </c>
      <c r="X472" t="str">
        <f>"17:48:47.983"</f>
        <v>17:48:47.983</v>
      </c>
      <c r="Y472" t="str">
        <f t="shared" si="71"/>
        <v>A7C771</v>
      </c>
      <c r="Z472">
        <v>0</v>
      </c>
      <c r="AA472">
        <v>0</v>
      </c>
      <c r="AB472">
        <v>2</v>
      </c>
      <c r="AC472">
        <v>0</v>
      </c>
      <c r="AE472">
        <v>0</v>
      </c>
      <c r="AF472">
        <v>8</v>
      </c>
      <c r="AG472">
        <v>3</v>
      </c>
      <c r="AH472">
        <v>0</v>
      </c>
      <c r="AI472">
        <v>9</v>
      </c>
      <c r="AJ472" t="s">
        <v>125</v>
      </c>
      <c r="AK472">
        <v>0</v>
      </c>
      <c r="AL472">
        <v>3</v>
      </c>
      <c r="AM472">
        <v>2</v>
      </c>
      <c r="AN472">
        <v>1</v>
      </c>
      <c r="AO472" t="s">
        <v>992</v>
      </c>
      <c r="AP472">
        <v>43.115479999999998</v>
      </c>
      <c r="AQ472" t="s">
        <v>993</v>
      </c>
      <c r="AR472">
        <v>-77.575686000000005</v>
      </c>
      <c r="AS472">
        <v>25</v>
      </c>
      <c r="AT472">
        <v>1575</v>
      </c>
      <c r="AU472" t="s">
        <v>123</v>
      </c>
      <c r="AV472">
        <v>-99</v>
      </c>
      <c r="AW472">
        <v>79</v>
      </c>
      <c r="AX472">
        <v>0</v>
      </c>
      <c r="AZ472">
        <f t="shared" si="76"/>
        <v>9801</v>
      </c>
      <c r="BA472">
        <f t="shared" si="77"/>
        <v>6241</v>
      </c>
      <c r="BB472" s="1">
        <f t="shared" si="78"/>
        <v>126.65701717630967</v>
      </c>
      <c r="BJ472">
        <v>1404</v>
      </c>
      <c r="BK472">
        <v>1</v>
      </c>
      <c r="BL472" t="str">
        <f t="shared" si="72"/>
        <v xml:space="preserve">N600C   </v>
      </c>
      <c r="BM472">
        <v>2</v>
      </c>
      <c r="BO472">
        <v>0</v>
      </c>
      <c r="BP472">
        <v>0</v>
      </c>
      <c r="BQ472">
        <v>0</v>
      </c>
      <c r="BR472">
        <v>1775</v>
      </c>
      <c r="BS472">
        <v>200</v>
      </c>
      <c r="BT472" t="s">
        <v>128</v>
      </c>
      <c r="BU472">
        <v>0</v>
      </c>
      <c r="BV472">
        <v>0</v>
      </c>
      <c r="BW472">
        <v>0</v>
      </c>
      <c r="BX472">
        <v>1</v>
      </c>
      <c r="CA472">
        <v>0</v>
      </c>
      <c r="CB472">
        <v>0</v>
      </c>
      <c r="CC472">
        <v>0</v>
      </c>
      <c r="CM472" t="str">
        <f>"17:48:48.386"</f>
        <v>17:48:48.386</v>
      </c>
      <c r="CN472">
        <v>385690745</v>
      </c>
      <c r="CQ472">
        <v>0</v>
      </c>
      <c r="CR472">
        <v>2016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3</v>
      </c>
      <c r="DB472">
        <v>2</v>
      </c>
      <c r="DC472">
        <v>0</v>
      </c>
      <c r="DD472">
        <v>2</v>
      </c>
      <c r="DE472">
        <v>0</v>
      </c>
      <c r="DF472">
        <v>6</v>
      </c>
      <c r="DG472">
        <v>7</v>
      </c>
      <c r="DH472" t="s">
        <v>124</v>
      </c>
      <c r="DI472">
        <v>71</v>
      </c>
      <c r="DJ472">
        <v>0</v>
      </c>
      <c r="DK472" t="s">
        <v>134</v>
      </c>
      <c r="DL472" t="s">
        <v>135</v>
      </c>
      <c r="DO472">
        <v>10286957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1</v>
      </c>
      <c r="DW472">
        <v>0</v>
      </c>
      <c r="DX472">
        <v>0</v>
      </c>
      <c r="DY472">
        <v>0</v>
      </c>
      <c r="DZ472">
        <v>0</v>
      </c>
      <c r="EA472">
        <v>0</v>
      </c>
    </row>
    <row r="473" spans="1:131" x14ac:dyDescent="0.35">
      <c r="A473" s="2" t="str">
        <f>"17:48:49.460"</f>
        <v>17:48:49.460</v>
      </c>
      <c r="B473" s="4">
        <f t="shared" si="79"/>
        <v>64129.46</v>
      </c>
      <c r="C473" s="4">
        <f t="shared" si="73"/>
        <v>529.45999999999913</v>
      </c>
      <c r="D473" s="3">
        <f t="shared" si="74"/>
        <v>0.74223912037037032</v>
      </c>
      <c r="E473" s="2">
        <f t="shared" si="75"/>
        <v>0.74223912037037032</v>
      </c>
      <c r="G473" t="str">
        <f t="shared" si="70"/>
        <v>FFDFD7C0</v>
      </c>
      <c r="H473" t="s">
        <v>126</v>
      </c>
      <c r="I473">
        <v>8</v>
      </c>
      <c r="J473">
        <v>1008</v>
      </c>
      <c r="K473" t="s">
        <v>129</v>
      </c>
      <c r="N473" t="s">
        <v>127</v>
      </c>
      <c r="O473">
        <v>0</v>
      </c>
      <c r="P473">
        <v>3</v>
      </c>
      <c r="Q473">
        <v>0</v>
      </c>
      <c r="R473">
        <v>2</v>
      </c>
      <c r="S473">
        <v>1</v>
      </c>
      <c r="T473">
        <v>0</v>
      </c>
      <c r="U473">
        <v>0</v>
      </c>
      <c r="W473" t="str">
        <f>"17:48:49.234"</f>
        <v>17:48:49.234</v>
      </c>
      <c r="X473" t="str">
        <f>"17:48:49.034"</f>
        <v>17:48:49.034</v>
      </c>
      <c r="Y473" t="str">
        <f t="shared" si="71"/>
        <v>A7C771</v>
      </c>
      <c r="Z473">
        <v>0</v>
      </c>
      <c r="AA473">
        <v>0</v>
      </c>
      <c r="AB473">
        <v>2</v>
      </c>
      <c r="AC473">
        <v>0</v>
      </c>
      <c r="AE473">
        <v>0</v>
      </c>
      <c r="AF473">
        <v>8</v>
      </c>
      <c r="AG473">
        <v>3</v>
      </c>
      <c r="AH473">
        <v>0</v>
      </c>
      <c r="AI473">
        <v>9</v>
      </c>
      <c r="AJ473" t="s">
        <v>125</v>
      </c>
      <c r="AK473">
        <v>0</v>
      </c>
      <c r="AL473">
        <v>3</v>
      </c>
      <c r="AM473">
        <v>2</v>
      </c>
      <c r="AN473">
        <v>1</v>
      </c>
      <c r="AO473" t="s">
        <v>994</v>
      </c>
      <c r="AP473">
        <v>43.115758999999997</v>
      </c>
      <c r="AQ473" t="s">
        <v>995</v>
      </c>
      <c r="AR473">
        <v>-77.576286999999994</v>
      </c>
      <c r="AS473">
        <v>25</v>
      </c>
      <c r="AT473">
        <v>1550</v>
      </c>
      <c r="AU473" t="s">
        <v>123</v>
      </c>
      <c r="AV473">
        <v>-101</v>
      </c>
      <c r="AW473">
        <v>76</v>
      </c>
      <c r="AX473">
        <v>-64</v>
      </c>
      <c r="AZ473">
        <f t="shared" si="76"/>
        <v>10201</v>
      </c>
      <c r="BA473">
        <f t="shared" si="77"/>
        <v>5776</v>
      </c>
      <c r="BB473" s="1">
        <f t="shared" si="78"/>
        <v>126.40015822774906</v>
      </c>
      <c r="BJ473">
        <v>1404</v>
      </c>
      <c r="BK473">
        <v>1</v>
      </c>
      <c r="BL473" t="str">
        <f t="shared" si="72"/>
        <v xml:space="preserve">N600C   </v>
      </c>
      <c r="BM473">
        <v>2</v>
      </c>
      <c r="BO473">
        <v>0</v>
      </c>
      <c r="BP473">
        <v>0</v>
      </c>
      <c r="BQ473">
        <v>0</v>
      </c>
      <c r="BR473">
        <v>1775</v>
      </c>
      <c r="BS473">
        <v>225</v>
      </c>
      <c r="BT473" t="s">
        <v>128</v>
      </c>
      <c r="BU473">
        <v>0</v>
      </c>
      <c r="BV473">
        <v>0</v>
      </c>
      <c r="BW473">
        <v>0</v>
      </c>
      <c r="BX473">
        <v>1</v>
      </c>
      <c r="CA473">
        <v>0</v>
      </c>
      <c r="CB473">
        <v>0</v>
      </c>
      <c r="CC473">
        <v>0</v>
      </c>
      <c r="CM473" t="str">
        <f>"17:48:49.242"</f>
        <v>17:48:49.242</v>
      </c>
      <c r="CN473">
        <v>241848442</v>
      </c>
      <c r="CQ473">
        <v>0</v>
      </c>
      <c r="CR473">
        <v>2016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3</v>
      </c>
      <c r="DB473">
        <v>2</v>
      </c>
      <c r="DC473">
        <v>0</v>
      </c>
      <c r="DD473">
        <v>2</v>
      </c>
      <c r="DE473">
        <v>0</v>
      </c>
      <c r="DF473">
        <v>6</v>
      </c>
      <c r="DG473">
        <v>7</v>
      </c>
      <c r="DH473" t="s">
        <v>124</v>
      </c>
      <c r="DI473">
        <v>71</v>
      </c>
      <c r="DJ473">
        <v>1</v>
      </c>
      <c r="DK473" t="s">
        <v>134</v>
      </c>
      <c r="DL473" t="s">
        <v>135</v>
      </c>
      <c r="DO473">
        <v>11656577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1</v>
      </c>
      <c r="DW473">
        <v>0</v>
      </c>
      <c r="DX473">
        <v>0</v>
      </c>
      <c r="DY473">
        <v>0</v>
      </c>
      <c r="DZ473">
        <v>0</v>
      </c>
      <c r="EA473">
        <v>0</v>
      </c>
    </row>
    <row r="474" spans="1:131" x14ac:dyDescent="0.35">
      <c r="A474" s="2" t="str">
        <f>"17:48:50.460"</f>
        <v>17:48:50.460</v>
      </c>
      <c r="B474" s="4">
        <f t="shared" si="79"/>
        <v>64130.46</v>
      </c>
      <c r="C474" s="4">
        <f t="shared" si="73"/>
        <v>530.45999999999913</v>
      </c>
      <c r="D474" s="3">
        <f t="shared" si="74"/>
        <v>0.74225069444444447</v>
      </c>
      <c r="E474" s="2">
        <f t="shared" si="75"/>
        <v>0.74225069444444447</v>
      </c>
      <c r="G474" t="str">
        <f t="shared" si="70"/>
        <v>FFDFD7C0</v>
      </c>
      <c r="H474" t="s">
        <v>126</v>
      </c>
      <c r="I474">
        <v>8</v>
      </c>
      <c r="J474">
        <v>1008</v>
      </c>
      <c r="K474" t="s">
        <v>129</v>
      </c>
      <c r="N474" t="s">
        <v>127</v>
      </c>
      <c r="O474">
        <v>0</v>
      </c>
      <c r="P474">
        <v>3</v>
      </c>
      <c r="Q474">
        <v>0</v>
      </c>
      <c r="R474">
        <v>2</v>
      </c>
      <c r="S474">
        <v>1</v>
      </c>
      <c r="T474">
        <v>0</v>
      </c>
      <c r="U474">
        <v>0</v>
      </c>
      <c r="W474" t="str">
        <f>"17:48:50.102"</f>
        <v>17:48:50.102</v>
      </c>
      <c r="X474" t="str">
        <f>"17:48:50.002"</f>
        <v>17:48:50.002</v>
      </c>
      <c r="Y474" t="str">
        <f t="shared" si="71"/>
        <v>A7C771</v>
      </c>
      <c r="Z474">
        <v>0</v>
      </c>
      <c r="AA474">
        <v>0</v>
      </c>
      <c r="AB474">
        <v>2</v>
      </c>
      <c r="AC474">
        <v>0</v>
      </c>
      <c r="AE474">
        <v>0</v>
      </c>
      <c r="AF474">
        <v>8</v>
      </c>
      <c r="AG474">
        <v>3</v>
      </c>
      <c r="AH474">
        <v>0</v>
      </c>
      <c r="AI474">
        <v>9</v>
      </c>
      <c r="AJ474" t="s">
        <v>125</v>
      </c>
      <c r="AK474">
        <v>0</v>
      </c>
      <c r="AL474">
        <v>3</v>
      </c>
      <c r="AM474">
        <v>2</v>
      </c>
      <c r="AN474">
        <v>1</v>
      </c>
      <c r="AO474" t="s">
        <v>996</v>
      </c>
      <c r="AP474">
        <v>43.116038000000003</v>
      </c>
      <c r="AQ474" t="s">
        <v>997</v>
      </c>
      <c r="AR474">
        <v>-77.576758999999996</v>
      </c>
      <c r="AS474">
        <v>25</v>
      </c>
      <c r="AT474">
        <v>1550</v>
      </c>
      <c r="AU474" t="s">
        <v>123</v>
      </c>
      <c r="AV474">
        <v>-102</v>
      </c>
      <c r="AW474">
        <v>73</v>
      </c>
      <c r="AX474">
        <v>-128</v>
      </c>
      <c r="AZ474">
        <f t="shared" si="76"/>
        <v>10404</v>
      </c>
      <c r="BA474">
        <f t="shared" si="77"/>
        <v>5329</v>
      </c>
      <c r="BB474" s="1">
        <f t="shared" si="78"/>
        <v>125.4312560727987</v>
      </c>
      <c r="BJ474">
        <v>1404</v>
      </c>
      <c r="BK474">
        <v>1</v>
      </c>
      <c r="BL474" t="str">
        <f t="shared" si="72"/>
        <v xml:space="preserve">N600C   </v>
      </c>
      <c r="BM474">
        <v>2</v>
      </c>
      <c r="BO474">
        <v>0</v>
      </c>
      <c r="BP474">
        <v>0</v>
      </c>
      <c r="BQ474">
        <v>0</v>
      </c>
      <c r="BR474">
        <v>1750</v>
      </c>
      <c r="BS474">
        <v>200</v>
      </c>
      <c r="BT474" t="s">
        <v>128</v>
      </c>
      <c r="BU474">
        <v>0</v>
      </c>
      <c r="BV474">
        <v>0</v>
      </c>
      <c r="BW474">
        <v>0</v>
      </c>
      <c r="BX474">
        <v>1</v>
      </c>
      <c r="CA474">
        <v>0</v>
      </c>
      <c r="CB474">
        <v>0</v>
      </c>
      <c r="CC474">
        <v>0</v>
      </c>
      <c r="CM474" t="str">
        <f>"17:48:50.106"</f>
        <v>17:48:50.106</v>
      </c>
      <c r="CN474">
        <v>106004968</v>
      </c>
      <c r="CQ474">
        <v>0</v>
      </c>
      <c r="CR474">
        <v>2016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3</v>
      </c>
      <c r="DB474">
        <v>2</v>
      </c>
      <c r="DC474">
        <v>0</v>
      </c>
      <c r="DD474">
        <v>2</v>
      </c>
      <c r="DE474">
        <v>0</v>
      </c>
      <c r="DF474">
        <v>7</v>
      </c>
      <c r="DG474">
        <v>7</v>
      </c>
      <c r="DH474" t="s">
        <v>124</v>
      </c>
      <c r="DI474">
        <v>71</v>
      </c>
      <c r="DJ474">
        <v>1</v>
      </c>
      <c r="DK474" t="s">
        <v>134</v>
      </c>
      <c r="DL474" t="s">
        <v>135</v>
      </c>
      <c r="DO474">
        <v>11657367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1</v>
      </c>
      <c r="DW474">
        <v>0</v>
      </c>
      <c r="DX474">
        <v>0</v>
      </c>
      <c r="DY474">
        <v>0</v>
      </c>
      <c r="DZ474">
        <v>0</v>
      </c>
      <c r="EA474">
        <v>0</v>
      </c>
    </row>
    <row r="475" spans="1:131" x14ac:dyDescent="0.35">
      <c r="A475" s="2" t="str">
        <f>"17:48:51.382"</f>
        <v>17:48:51.382</v>
      </c>
      <c r="B475" s="4">
        <f t="shared" si="79"/>
        <v>64131.381999999998</v>
      </c>
      <c r="C475" s="4">
        <f t="shared" si="73"/>
        <v>531.38199999999779</v>
      </c>
      <c r="D475" s="3">
        <f t="shared" si="74"/>
        <v>0.74226136574074075</v>
      </c>
      <c r="E475" s="2">
        <f t="shared" si="75"/>
        <v>0.74226136574074075</v>
      </c>
      <c r="G475" t="str">
        <f t="shared" si="70"/>
        <v>FFDFD7C0</v>
      </c>
      <c r="H475" t="s">
        <v>126</v>
      </c>
      <c r="I475">
        <v>8</v>
      </c>
      <c r="J475">
        <v>1008</v>
      </c>
      <c r="K475" t="s">
        <v>129</v>
      </c>
      <c r="N475" t="s">
        <v>127</v>
      </c>
      <c r="O475">
        <v>0</v>
      </c>
      <c r="P475">
        <v>3</v>
      </c>
      <c r="Q475">
        <v>0</v>
      </c>
      <c r="R475">
        <v>2</v>
      </c>
      <c r="S475">
        <v>1</v>
      </c>
      <c r="T475">
        <v>0</v>
      </c>
      <c r="U475">
        <v>0</v>
      </c>
      <c r="W475" t="str">
        <f>"17:48:51.086"</f>
        <v>17:48:51.086</v>
      </c>
      <c r="X475" t="str">
        <f>"17:48:50.886"</f>
        <v>17:48:50.886</v>
      </c>
      <c r="Y475" t="str">
        <f t="shared" si="71"/>
        <v>A7C771</v>
      </c>
      <c r="Z475">
        <v>0</v>
      </c>
      <c r="AA475">
        <v>0</v>
      </c>
      <c r="AB475">
        <v>2</v>
      </c>
      <c r="AC475">
        <v>0</v>
      </c>
      <c r="AE475">
        <v>0</v>
      </c>
      <c r="AF475">
        <v>8</v>
      </c>
      <c r="AG475">
        <v>3</v>
      </c>
      <c r="AH475">
        <v>0</v>
      </c>
      <c r="AI475">
        <v>9</v>
      </c>
      <c r="AJ475" t="s">
        <v>125</v>
      </c>
      <c r="AK475">
        <v>0</v>
      </c>
      <c r="AL475">
        <v>3</v>
      </c>
      <c r="AM475">
        <v>2</v>
      </c>
      <c r="AN475">
        <v>1</v>
      </c>
      <c r="AO475" t="s">
        <v>998</v>
      </c>
      <c r="AP475">
        <v>43.11636</v>
      </c>
      <c r="AQ475" t="s">
        <v>999</v>
      </c>
      <c r="AR475">
        <v>-77.577466999999999</v>
      </c>
      <c r="AS475">
        <v>25</v>
      </c>
      <c r="AT475">
        <v>1550</v>
      </c>
      <c r="AU475" t="s">
        <v>123</v>
      </c>
      <c r="AV475">
        <v>-103</v>
      </c>
      <c r="AW475">
        <v>71</v>
      </c>
      <c r="AX475">
        <v>-192</v>
      </c>
      <c r="AZ475">
        <f t="shared" si="76"/>
        <v>10609</v>
      </c>
      <c r="BA475">
        <f t="shared" si="77"/>
        <v>5041</v>
      </c>
      <c r="BB475" s="1">
        <f t="shared" si="78"/>
        <v>125.09996003196804</v>
      </c>
      <c r="BJ475">
        <v>1404</v>
      </c>
      <c r="BK475">
        <v>1</v>
      </c>
      <c r="BL475" t="str">
        <f t="shared" si="72"/>
        <v xml:space="preserve">N600C   </v>
      </c>
      <c r="BM475">
        <v>2</v>
      </c>
      <c r="BO475">
        <v>0</v>
      </c>
      <c r="BP475">
        <v>0</v>
      </c>
      <c r="BQ475">
        <v>0</v>
      </c>
      <c r="BR475">
        <v>1750</v>
      </c>
      <c r="BS475">
        <v>200</v>
      </c>
      <c r="BT475" t="s">
        <v>128</v>
      </c>
      <c r="BU475">
        <v>0</v>
      </c>
      <c r="BV475">
        <v>0</v>
      </c>
      <c r="BW475">
        <v>0</v>
      </c>
      <c r="BX475">
        <v>1</v>
      </c>
      <c r="CA475">
        <v>0</v>
      </c>
      <c r="CB475">
        <v>0</v>
      </c>
      <c r="CC475">
        <v>0</v>
      </c>
      <c r="CM475" t="str">
        <f>"17:48:51.090"</f>
        <v>17:48:51.090</v>
      </c>
      <c r="CN475">
        <v>90182755</v>
      </c>
      <c r="CQ475">
        <v>0</v>
      </c>
      <c r="CR475">
        <v>2016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3</v>
      </c>
      <c r="DB475">
        <v>2</v>
      </c>
      <c r="DC475">
        <v>0</v>
      </c>
      <c r="DD475">
        <v>2</v>
      </c>
      <c r="DE475">
        <v>0</v>
      </c>
      <c r="DF475">
        <v>7</v>
      </c>
      <c r="DG475">
        <v>7</v>
      </c>
      <c r="DH475" t="s">
        <v>124</v>
      </c>
      <c r="DI475">
        <v>71</v>
      </c>
      <c r="DJ475">
        <v>1</v>
      </c>
      <c r="DK475" t="s">
        <v>134</v>
      </c>
      <c r="DL475" t="s">
        <v>135</v>
      </c>
      <c r="DO475">
        <v>11658262</v>
      </c>
      <c r="DQ475">
        <v>0</v>
      </c>
      <c r="DR475">
        <v>0</v>
      </c>
      <c r="DS475">
        <v>1</v>
      </c>
      <c r="DT475">
        <v>0</v>
      </c>
      <c r="DU475">
        <v>0</v>
      </c>
      <c r="DV475">
        <v>1</v>
      </c>
      <c r="DW475">
        <v>0</v>
      </c>
      <c r="DX475">
        <v>0</v>
      </c>
      <c r="DY475">
        <v>0</v>
      </c>
      <c r="DZ475">
        <v>0</v>
      </c>
      <c r="EA475">
        <v>0</v>
      </c>
    </row>
    <row r="476" spans="1:131" x14ac:dyDescent="0.35">
      <c r="A476" s="2" t="str">
        <f>"17:48:52.210"</f>
        <v>17:48:52.210</v>
      </c>
      <c r="B476" s="4">
        <f t="shared" si="79"/>
        <v>64132.21</v>
      </c>
      <c r="C476" s="4">
        <f t="shared" si="73"/>
        <v>532.20999999999913</v>
      </c>
      <c r="D476" s="3">
        <f t="shared" si="74"/>
        <v>0.74227094907407409</v>
      </c>
      <c r="E476" s="2">
        <f t="shared" si="75"/>
        <v>0.74227094907407409</v>
      </c>
      <c r="G476" t="str">
        <f t="shared" si="70"/>
        <v>FFDFD7C0</v>
      </c>
      <c r="H476" t="s">
        <v>126</v>
      </c>
      <c r="I476">
        <v>8</v>
      </c>
      <c r="J476">
        <v>1008</v>
      </c>
      <c r="K476" t="s">
        <v>129</v>
      </c>
      <c r="N476" t="s">
        <v>127</v>
      </c>
      <c r="O476">
        <v>0</v>
      </c>
      <c r="P476">
        <v>3</v>
      </c>
      <c r="Q476">
        <v>0</v>
      </c>
      <c r="R476">
        <v>2</v>
      </c>
      <c r="S476">
        <v>1</v>
      </c>
      <c r="T476">
        <v>0</v>
      </c>
      <c r="U476">
        <v>0</v>
      </c>
      <c r="W476" t="str">
        <f>"17:48:52.000"</f>
        <v>17:48:52.000</v>
      </c>
      <c r="X476" t="str">
        <f>"17:48:51.900"</f>
        <v>17:48:51.900</v>
      </c>
      <c r="Y476" t="str">
        <f t="shared" si="71"/>
        <v>A7C771</v>
      </c>
      <c r="Z476">
        <v>0</v>
      </c>
      <c r="AA476">
        <v>0</v>
      </c>
      <c r="AB476">
        <v>2</v>
      </c>
      <c r="AC476">
        <v>0</v>
      </c>
      <c r="AE476">
        <v>0</v>
      </c>
      <c r="AF476">
        <v>8</v>
      </c>
      <c r="AG476">
        <v>3</v>
      </c>
      <c r="AH476">
        <v>0</v>
      </c>
      <c r="AI476">
        <v>9</v>
      </c>
      <c r="AJ476" t="s">
        <v>125</v>
      </c>
      <c r="AK476">
        <v>0</v>
      </c>
      <c r="AL476">
        <v>3</v>
      </c>
      <c r="AM476">
        <v>2</v>
      </c>
      <c r="AN476">
        <v>1</v>
      </c>
      <c r="AO476" t="s">
        <v>1000</v>
      </c>
      <c r="AP476">
        <v>43.116616999999998</v>
      </c>
      <c r="AQ476" t="s">
        <v>1001</v>
      </c>
      <c r="AR476">
        <v>-77.578046000000001</v>
      </c>
      <c r="AS476">
        <v>25</v>
      </c>
      <c r="AT476">
        <v>1550</v>
      </c>
      <c r="AU476" t="s">
        <v>123</v>
      </c>
      <c r="AV476">
        <v>-104</v>
      </c>
      <c r="AW476">
        <v>68</v>
      </c>
      <c r="AX476">
        <v>-128</v>
      </c>
      <c r="AZ476">
        <f t="shared" si="76"/>
        <v>10816</v>
      </c>
      <c r="BA476">
        <f t="shared" si="77"/>
        <v>4624</v>
      </c>
      <c r="BB476" s="1">
        <f t="shared" si="78"/>
        <v>124.25779653607253</v>
      </c>
      <c r="BJ476">
        <v>1404</v>
      </c>
      <c r="BK476">
        <v>1</v>
      </c>
      <c r="BL476" t="str">
        <f t="shared" si="72"/>
        <v xml:space="preserve">N600C   </v>
      </c>
      <c r="BM476">
        <v>2</v>
      </c>
      <c r="BO476">
        <v>0</v>
      </c>
      <c r="BP476">
        <v>0</v>
      </c>
      <c r="BQ476">
        <v>0</v>
      </c>
      <c r="BR476">
        <v>1750</v>
      </c>
      <c r="BS476">
        <v>200</v>
      </c>
      <c r="BT476" t="s">
        <v>128</v>
      </c>
      <c r="BU476">
        <v>0</v>
      </c>
      <c r="BV476">
        <v>0</v>
      </c>
      <c r="BW476">
        <v>0</v>
      </c>
      <c r="BX476">
        <v>1</v>
      </c>
      <c r="CA476">
        <v>0</v>
      </c>
      <c r="CB476">
        <v>0</v>
      </c>
      <c r="CC476">
        <v>0</v>
      </c>
      <c r="CM476" t="str">
        <f>"17:48:52.002"</f>
        <v>17:48:52.002</v>
      </c>
      <c r="CN476">
        <v>2349163</v>
      </c>
      <c r="CQ476">
        <v>0</v>
      </c>
      <c r="CR476">
        <v>2016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3</v>
      </c>
      <c r="DB476">
        <v>2</v>
      </c>
      <c r="DC476">
        <v>0</v>
      </c>
      <c r="DD476">
        <v>2</v>
      </c>
      <c r="DE476">
        <v>0</v>
      </c>
      <c r="DF476">
        <v>7</v>
      </c>
      <c r="DG476">
        <v>7</v>
      </c>
      <c r="DH476" t="s">
        <v>124</v>
      </c>
      <c r="DI476">
        <v>71</v>
      </c>
      <c r="DJ476">
        <v>0</v>
      </c>
      <c r="DK476" t="s">
        <v>134</v>
      </c>
      <c r="DL476" t="s">
        <v>135</v>
      </c>
      <c r="DO476">
        <v>10289646</v>
      </c>
      <c r="DQ476">
        <v>0</v>
      </c>
      <c r="DR476">
        <v>0</v>
      </c>
      <c r="DS476">
        <v>1</v>
      </c>
      <c r="DT476">
        <v>0</v>
      </c>
      <c r="DU476">
        <v>0</v>
      </c>
      <c r="DV476">
        <v>1</v>
      </c>
      <c r="DW476">
        <v>0</v>
      </c>
      <c r="DX476">
        <v>0</v>
      </c>
      <c r="DY476">
        <v>0</v>
      </c>
      <c r="DZ476">
        <v>0</v>
      </c>
      <c r="EA476">
        <v>0</v>
      </c>
    </row>
    <row r="477" spans="1:131" x14ac:dyDescent="0.35">
      <c r="A477" s="2" t="str">
        <f>"17:48:53.117"</f>
        <v>17:48:53.117</v>
      </c>
      <c r="B477" s="4">
        <f t="shared" si="79"/>
        <v>64133.116999999998</v>
      </c>
      <c r="C477" s="4">
        <f t="shared" si="73"/>
        <v>533.11699999999837</v>
      </c>
      <c r="D477" s="3">
        <f t="shared" si="74"/>
        <v>0.74228144675925922</v>
      </c>
      <c r="E477" s="2">
        <f t="shared" si="75"/>
        <v>0.74228144675925922</v>
      </c>
      <c r="G477" t="str">
        <f t="shared" si="70"/>
        <v>FFDFD7C0</v>
      </c>
      <c r="H477" t="s">
        <v>126</v>
      </c>
      <c r="I477">
        <v>8</v>
      </c>
      <c r="J477">
        <v>1008</v>
      </c>
      <c r="K477" t="s">
        <v>129</v>
      </c>
      <c r="N477" t="s">
        <v>127</v>
      </c>
      <c r="O477">
        <v>0</v>
      </c>
      <c r="P477">
        <v>3</v>
      </c>
      <c r="Q477">
        <v>0</v>
      </c>
      <c r="R477">
        <v>2</v>
      </c>
      <c r="S477">
        <v>1</v>
      </c>
      <c r="T477">
        <v>0</v>
      </c>
      <c r="U477">
        <v>0</v>
      </c>
      <c r="W477" t="str">
        <f>"17:48:52.875"</f>
        <v>17:48:52.875</v>
      </c>
      <c r="X477" t="str">
        <f>"17:48:52.375"</f>
        <v>17:48:52.375</v>
      </c>
      <c r="Y477" t="str">
        <f t="shared" si="71"/>
        <v>A7C771</v>
      </c>
      <c r="Z477">
        <v>0</v>
      </c>
      <c r="AA477">
        <v>0</v>
      </c>
      <c r="AB477">
        <v>2</v>
      </c>
      <c r="AC477">
        <v>0</v>
      </c>
      <c r="AE477">
        <v>0</v>
      </c>
      <c r="AF477">
        <v>8</v>
      </c>
      <c r="AG477">
        <v>3</v>
      </c>
      <c r="AH477">
        <v>0</v>
      </c>
      <c r="AI477">
        <v>9</v>
      </c>
      <c r="AJ477" t="s">
        <v>125</v>
      </c>
      <c r="AK477">
        <v>0</v>
      </c>
      <c r="AL477">
        <v>3</v>
      </c>
      <c r="AM477">
        <v>2</v>
      </c>
      <c r="AN477">
        <v>1</v>
      </c>
      <c r="AO477" t="s">
        <v>1002</v>
      </c>
      <c r="AP477">
        <v>43.116917999999998</v>
      </c>
      <c r="AQ477" t="s">
        <v>1003</v>
      </c>
      <c r="AR477">
        <v>-77.578647000000004</v>
      </c>
      <c r="AS477">
        <v>25</v>
      </c>
      <c r="AT477">
        <v>1550</v>
      </c>
      <c r="AU477" t="s">
        <v>123</v>
      </c>
      <c r="AV477">
        <v>-106</v>
      </c>
      <c r="AW477">
        <v>66</v>
      </c>
      <c r="AX477">
        <v>-256</v>
      </c>
      <c r="AZ477">
        <f t="shared" si="76"/>
        <v>11236</v>
      </c>
      <c r="BA477">
        <f t="shared" si="77"/>
        <v>4356</v>
      </c>
      <c r="BB477" s="1">
        <f t="shared" si="78"/>
        <v>124.86793023030373</v>
      </c>
      <c r="BJ477">
        <v>1404</v>
      </c>
      <c r="BK477">
        <v>1</v>
      </c>
      <c r="BL477" t="str">
        <f t="shared" si="72"/>
        <v xml:space="preserve">N600C   </v>
      </c>
      <c r="BM477">
        <v>2</v>
      </c>
      <c r="BO477">
        <v>0</v>
      </c>
      <c r="BP477">
        <v>0</v>
      </c>
      <c r="BQ477">
        <v>0</v>
      </c>
      <c r="BR477">
        <v>1750</v>
      </c>
      <c r="BS477">
        <v>200</v>
      </c>
      <c r="BT477" t="s">
        <v>128</v>
      </c>
      <c r="BU477">
        <v>0</v>
      </c>
      <c r="BV477">
        <v>0</v>
      </c>
      <c r="BW477">
        <v>0</v>
      </c>
      <c r="BX477">
        <v>1</v>
      </c>
      <c r="CA477">
        <v>0</v>
      </c>
      <c r="CB477">
        <v>0</v>
      </c>
      <c r="CC477">
        <v>0</v>
      </c>
      <c r="CM477" t="str">
        <f>"17:48:52.883"</f>
        <v>17:48:52.883</v>
      </c>
      <c r="CN477">
        <v>882512574</v>
      </c>
      <c r="CQ477">
        <v>0</v>
      </c>
      <c r="CR477">
        <v>2016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3</v>
      </c>
      <c r="DB477">
        <v>2</v>
      </c>
      <c r="DC477">
        <v>0</v>
      </c>
      <c r="DD477">
        <v>2</v>
      </c>
      <c r="DE477">
        <v>0</v>
      </c>
      <c r="DF477">
        <v>7</v>
      </c>
      <c r="DG477">
        <v>7</v>
      </c>
      <c r="DH477" t="s">
        <v>124</v>
      </c>
      <c r="DI477">
        <v>71</v>
      </c>
      <c r="DJ477">
        <v>0</v>
      </c>
      <c r="DK477" t="s">
        <v>134</v>
      </c>
      <c r="DL477" t="s">
        <v>135</v>
      </c>
      <c r="DO477">
        <v>10290248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1</v>
      </c>
      <c r="DW477">
        <v>0</v>
      </c>
      <c r="DX477">
        <v>0</v>
      </c>
      <c r="DY477">
        <v>0</v>
      </c>
      <c r="DZ477">
        <v>0</v>
      </c>
      <c r="EA477">
        <v>0</v>
      </c>
    </row>
    <row r="478" spans="1:131" x14ac:dyDescent="0.35">
      <c r="A478" s="2" t="str">
        <f>"17:48:54.241"</f>
        <v>17:48:54.241</v>
      </c>
      <c r="B478" s="4">
        <f t="shared" si="79"/>
        <v>64134.241000000002</v>
      </c>
      <c r="C478" s="4">
        <f t="shared" si="73"/>
        <v>534.2410000000018</v>
      </c>
      <c r="D478" s="3">
        <f t="shared" si="74"/>
        <v>0.74229445601851851</v>
      </c>
      <c r="E478" s="2">
        <f t="shared" si="75"/>
        <v>0.74229445601851851</v>
      </c>
      <c r="G478" t="str">
        <f t="shared" si="70"/>
        <v>FFDFD7C0</v>
      </c>
      <c r="H478" t="s">
        <v>126</v>
      </c>
      <c r="I478">
        <v>8</v>
      </c>
      <c r="J478">
        <v>1008</v>
      </c>
      <c r="K478" t="s">
        <v>129</v>
      </c>
      <c r="N478" t="s">
        <v>127</v>
      </c>
      <c r="O478">
        <v>0</v>
      </c>
      <c r="P478">
        <v>3</v>
      </c>
      <c r="Q478">
        <v>0</v>
      </c>
      <c r="R478">
        <v>2</v>
      </c>
      <c r="S478">
        <v>1</v>
      </c>
      <c r="T478">
        <v>0</v>
      </c>
      <c r="U478">
        <v>0</v>
      </c>
      <c r="W478" t="str">
        <f>"17:48:53.922"</f>
        <v>17:48:53.922</v>
      </c>
      <c r="X478" t="str">
        <f>"17:48:53.922"</f>
        <v>17:48:53.922</v>
      </c>
      <c r="Y478" t="str">
        <f t="shared" si="71"/>
        <v>A7C771</v>
      </c>
      <c r="Z478">
        <v>0</v>
      </c>
      <c r="AA478">
        <v>0</v>
      </c>
      <c r="AB478">
        <v>2</v>
      </c>
      <c r="AC478">
        <v>0</v>
      </c>
      <c r="AE478">
        <v>0</v>
      </c>
      <c r="AF478">
        <v>8</v>
      </c>
      <c r="AG478">
        <v>3</v>
      </c>
      <c r="AH478">
        <v>0</v>
      </c>
      <c r="AI478">
        <v>9</v>
      </c>
      <c r="AJ478" t="s">
        <v>125</v>
      </c>
      <c r="AK478">
        <v>0</v>
      </c>
      <c r="AL478">
        <v>3</v>
      </c>
      <c r="AM478">
        <v>2</v>
      </c>
      <c r="AN478">
        <v>1</v>
      </c>
      <c r="AO478" t="s">
        <v>1004</v>
      </c>
      <c r="AP478">
        <v>43.117218000000001</v>
      </c>
      <c r="AQ478" t="s">
        <v>1005</v>
      </c>
      <c r="AR478">
        <v>-77.579376999999994</v>
      </c>
      <c r="AS478">
        <v>25</v>
      </c>
      <c r="AT478">
        <v>1550</v>
      </c>
      <c r="AU478" t="s">
        <v>123</v>
      </c>
      <c r="AV478">
        <v>-106</v>
      </c>
      <c r="AW478">
        <v>64</v>
      </c>
      <c r="AX478">
        <v>-320</v>
      </c>
      <c r="AZ478">
        <f t="shared" si="76"/>
        <v>11236</v>
      </c>
      <c r="BA478">
        <f t="shared" si="77"/>
        <v>4096</v>
      </c>
      <c r="BB478" s="1">
        <f t="shared" si="78"/>
        <v>123.82245353731285</v>
      </c>
      <c r="BJ478">
        <v>1404</v>
      </c>
      <c r="BK478">
        <v>1</v>
      </c>
      <c r="BL478" t="str">
        <f t="shared" si="72"/>
        <v xml:space="preserve">N600C   </v>
      </c>
      <c r="BM478">
        <v>2</v>
      </c>
      <c r="BO478">
        <v>0</v>
      </c>
      <c r="BP478">
        <v>0</v>
      </c>
      <c r="BQ478">
        <v>0</v>
      </c>
      <c r="BR478">
        <v>1750</v>
      </c>
      <c r="BS478">
        <v>200</v>
      </c>
      <c r="BT478" t="s">
        <v>128</v>
      </c>
      <c r="BU478">
        <v>0</v>
      </c>
      <c r="BV478">
        <v>0</v>
      </c>
      <c r="BW478">
        <v>0</v>
      </c>
      <c r="BX478">
        <v>1</v>
      </c>
      <c r="CA478">
        <v>0</v>
      </c>
      <c r="CB478">
        <v>0</v>
      </c>
      <c r="CC478">
        <v>0</v>
      </c>
      <c r="CM478" t="str">
        <f>"17:48:53.923"</f>
        <v>17:48:53.923</v>
      </c>
      <c r="CN478">
        <v>922701397</v>
      </c>
      <c r="CQ478">
        <v>0</v>
      </c>
      <c r="CR478">
        <v>2016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3</v>
      </c>
      <c r="DB478">
        <v>2</v>
      </c>
      <c r="DC478">
        <v>0</v>
      </c>
      <c r="DD478">
        <v>2</v>
      </c>
      <c r="DE478">
        <v>0</v>
      </c>
      <c r="DF478">
        <v>7</v>
      </c>
      <c r="DG478">
        <v>7</v>
      </c>
      <c r="DH478" t="s">
        <v>124</v>
      </c>
      <c r="DI478">
        <v>71</v>
      </c>
      <c r="DJ478">
        <v>1</v>
      </c>
      <c r="DK478" t="s">
        <v>134</v>
      </c>
      <c r="DL478" t="s">
        <v>135</v>
      </c>
      <c r="DO478">
        <v>11660420</v>
      </c>
      <c r="DQ478">
        <v>0</v>
      </c>
      <c r="DR478">
        <v>0</v>
      </c>
      <c r="DS478">
        <v>1</v>
      </c>
      <c r="DT478">
        <v>0</v>
      </c>
      <c r="DU478">
        <v>0</v>
      </c>
      <c r="DV478">
        <v>1</v>
      </c>
      <c r="DW478">
        <v>0</v>
      </c>
      <c r="DX478">
        <v>0</v>
      </c>
      <c r="DY478">
        <v>0</v>
      </c>
      <c r="DZ478">
        <v>0</v>
      </c>
      <c r="EA478">
        <v>0</v>
      </c>
    </row>
    <row r="479" spans="1:131" x14ac:dyDescent="0.35">
      <c r="A479" s="2" t="str">
        <f>"17:48:55.164"</f>
        <v>17:48:55.164</v>
      </c>
      <c r="B479" s="4">
        <f t="shared" si="79"/>
        <v>64135.163999999997</v>
      </c>
      <c r="C479" s="4">
        <f t="shared" si="73"/>
        <v>535.16399999999703</v>
      </c>
      <c r="D479" s="3">
        <f t="shared" si="74"/>
        <v>0.74230513888888883</v>
      </c>
      <c r="E479" s="2">
        <f t="shared" si="75"/>
        <v>0.74230513888888883</v>
      </c>
      <c r="G479" t="str">
        <f t="shared" si="70"/>
        <v>FFDFD7C0</v>
      </c>
      <c r="H479" t="s">
        <v>126</v>
      </c>
      <c r="I479">
        <v>8</v>
      </c>
      <c r="J479">
        <v>1008</v>
      </c>
      <c r="K479" t="s">
        <v>129</v>
      </c>
      <c r="N479" t="s">
        <v>127</v>
      </c>
      <c r="O479">
        <v>0</v>
      </c>
      <c r="P479">
        <v>3</v>
      </c>
      <c r="Q479">
        <v>0</v>
      </c>
      <c r="R479">
        <v>2</v>
      </c>
      <c r="S479">
        <v>1</v>
      </c>
      <c r="T479">
        <v>0</v>
      </c>
      <c r="U479">
        <v>0</v>
      </c>
      <c r="W479" t="str">
        <f>"17:48:54.914"</f>
        <v>17:48:54.914</v>
      </c>
      <c r="X479" t="str">
        <f>"17:48:54.914"</f>
        <v>17:48:54.914</v>
      </c>
      <c r="Y479" t="str">
        <f t="shared" si="71"/>
        <v>A7C771</v>
      </c>
      <c r="Z479">
        <v>0</v>
      </c>
      <c r="AA479">
        <v>0</v>
      </c>
      <c r="AB479">
        <v>2</v>
      </c>
      <c r="AC479">
        <v>0</v>
      </c>
      <c r="AE479">
        <v>0</v>
      </c>
      <c r="AF479">
        <v>8</v>
      </c>
      <c r="AG479">
        <v>3</v>
      </c>
      <c r="AH479">
        <v>0</v>
      </c>
      <c r="AI479">
        <v>9</v>
      </c>
      <c r="AJ479" t="s">
        <v>125</v>
      </c>
      <c r="AK479">
        <v>0</v>
      </c>
      <c r="AL479">
        <v>3</v>
      </c>
      <c r="AM479">
        <v>2</v>
      </c>
      <c r="AN479">
        <v>1</v>
      </c>
      <c r="AO479" t="s">
        <v>1006</v>
      </c>
      <c r="AP479">
        <v>43.117497</v>
      </c>
      <c r="AQ479" t="s">
        <v>1007</v>
      </c>
      <c r="AR479">
        <v>-77.580084999999997</v>
      </c>
      <c r="AS479">
        <v>25</v>
      </c>
      <c r="AT479">
        <v>1550</v>
      </c>
      <c r="AU479" t="s">
        <v>123</v>
      </c>
      <c r="AV479">
        <v>-107</v>
      </c>
      <c r="AW479">
        <v>62</v>
      </c>
      <c r="AX479">
        <v>-320</v>
      </c>
      <c r="AZ479">
        <f t="shared" si="76"/>
        <v>11449</v>
      </c>
      <c r="BA479">
        <f t="shared" si="77"/>
        <v>3844</v>
      </c>
      <c r="BB479" s="1">
        <f t="shared" si="78"/>
        <v>123.664869708418</v>
      </c>
      <c r="BJ479">
        <v>1404</v>
      </c>
      <c r="BK479">
        <v>1</v>
      </c>
      <c r="BL479" t="str">
        <f t="shared" si="72"/>
        <v xml:space="preserve">N600C   </v>
      </c>
      <c r="BM479">
        <v>2</v>
      </c>
      <c r="BO479">
        <v>0</v>
      </c>
      <c r="BP479">
        <v>0</v>
      </c>
      <c r="BQ479">
        <v>0</v>
      </c>
      <c r="BR479">
        <v>1750</v>
      </c>
      <c r="BS479">
        <v>200</v>
      </c>
      <c r="BT479" t="s">
        <v>128</v>
      </c>
      <c r="BU479">
        <v>0</v>
      </c>
      <c r="BV479">
        <v>0</v>
      </c>
      <c r="BW479">
        <v>0</v>
      </c>
      <c r="BX479">
        <v>1</v>
      </c>
      <c r="CA479">
        <v>0</v>
      </c>
      <c r="CB479">
        <v>0</v>
      </c>
      <c r="CC479">
        <v>0</v>
      </c>
      <c r="CM479" t="str">
        <f>"17:48:54.915"</f>
        <v>17:48:54.915</v>
      </c>
      <c r="CN479">
        <v>914892297</v>
      </c>
      <c r="CQ479">
        <v>0</v>
      </c>
      <c r="CR479">
        <v>2016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3</v>
      </c>
      <c r="DB479">
        <v>2</v>
      </c>
      <c r="DC479">
        <v>0</v>
      </c>
      <c r="DD479">
        <v>2</v>
      </c>
      <c r="DE479">
        <v>0</v>
      </c>
      <c r="DF479">
        <v>7</v>
      </c>
      <c r="DG479">
        <v>7</v>
      </c>
      <c r="DH479" t="s">
        <v>124</v>
      </c>
      <c r="DI479">
        <v>71</v>
      </c>
      <c r="DJ479">
        <v>1</v>
      </c>
      <c r="DK479" t="s">
        <v>134</v>
      </c>
      <c r="DL479" t="s">
        <v>135</v>
      </c>
      <c r="DO479">
        <v>11661267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1</v>
      </c>
      <c r="DW479">
        <v>0</v>
      </c>
      <c r="DX479">
        <v>0</v>
      </c>
      <c r="DY479">
        <v>0</v>
      </c>
      <c r="DZ479">
        <v>0</v>
      </c>
      <c r="EA479">
        <v>0</v>
      </c>
    </row>
    <row r="480" spans="1:131" x14ac:dyDescent="0.35">
      <c r="A480" s="2" t="str">
        <f>"17:48:56.258"</f>
        <v>17:48:56.258</v>
      </c>
      <c r="B480" s="4">
        <f t="shared" si="79"/>
        <v>64136.258000000002</v>
      </c>
      <c r="C480" s="4">
        <f t="shared" si="73"/>
        <v>536.25800000000163</v>
      </c>
      <c r="D480" s="3">
        <f t="shared" si="74"/>
        <v>0.74231780092592592</v>
      </c>
      <c r="E480" s="2">
        <f t="shared" si="75"/>
        <v>0.74231780092592592</v>
      </c>
      <c r="G480" t="str">
        <f t="shared" si="70"/>
        <v>FFDFD7C0</v>
      </c>
      <c r="H480" t="s">
        <v>126</v>
      </c>
      <c r="I480">
        <v>8</v>
      </c>
      <c r="J480">
        <v>1008</v>
      </c>
      <c r="K480" t="s">
        <v>129</v>
      </c>
      <c r="N480" t="s">
        <v>127</v>
      </c>
      <c r="O480">
        <v>0</v>
      </c>
      <c r="P480">
        <v>3</v>
      </c>
      <c r="Q480">
        <v>0</v>
      </c>
      <c r="R480">
        <v>2</v>
      </c>
      <c r="S480">
        <v>1</v>
      </c>
      <c r="T480">
        <v>0</v>
      </c>
      <c r="U480">
        <v>0</v>
      </c>
      <c r="W480" t="str">
        <f>"17:48:55.992"</f>
        <v>17:48:55.992</v>
      </c>
      <c r="X480" t="str">
        <f>"17:48:55.992"</f>
        <v>17:48:55.992</v>
      </c>
      <c r="Y480" t="str">
        <f t="shared" si="71"/>
        <v>A7C771</v>
      </c>
      <c r="Z480">
        <v>0</v>
      </c>
      <c r="AA480">
        <v>0</v>
      </c>
      <c r="AB480">
        <v>2</v>
      </c>
      <c r="AC480">
        <v>0</v>
      </c>
      <c r="AE480">
        <v>0</v>
      </c>
      <c r="AF480">
        <v>8</v>
      </c>
      <c r="AG480">
        <v>3</v>
      </c>
      <c r="AH480">
        <v>0</v>
      </c>
      <c r="AI480">
        <v>9</v>
      </c>
      <c r="AJ480" t="s">
        <v>125</v>
      </c>
      <c r="AK480">
        <v>0</v>
      </c>
      <c r="AL480">
        <v>3</v>
      </c>
      <c r="AM480">
        <v>2</v>
      </c>
      <c r="AN480">
        <v>1</v>
      </c>
      <c r="AO480" t="s">
        <v>1008</v>
      </c>
      <c r="AP480">
        <v>43.117775999999999</v>
      </c>
      <c r="AQ480" t="s">
        <v>1009</v>
      </c>
      <c r="AR480">
        <v>-77.580729000000005</v>
      </c>
      <c r="AS480">
        <v>25</v>
      </c>
      <c r="AT480">
        <v>1525</v>
      </c>
      <c r="AU480" t="s">
        <v>123</v>
      </c>
      <c r="AV480">
        <v>-108</v>
      </c>
      <c r="AW480">
        <v>59</v>
      </c>
      <c r="AX480">
        <v>-320</v>
      </c>
      <c r="AZ480">
        <f t="shared" si="76"/>
        <v>11664</v>
      </c>
      <c r="BA480">
        <f t="shared" si="77"/>
        <v>3481</v>
      </c>
      <c r="BB480" s="1">
        <f t="shared" si="78"/>
        <v>123.06502346320826</v>
      </c>
      <c r="BJ480">
        <v>1404</v>
      </c>
      <c r="BK480">
        <v>1</v>
      </c>
      <c r="BL480" t="str">
        <f t="shared" si="72"/>
        <v xml:space="preserve">N600C   </v>
      </c>
      <c r="BM480">
        <v>2</v>
      </c>
      <c r="BO480">
        <v>0</v>
      </c>
      <c r="BP480">
        <v>0</v>
      </c>
      <c r="BQ480">
        <v>0</v>
      </c>
      <c r="BR480">
        <v>1725</v>
      </c>
      <c r="BS480">
        <v>200</v>
      </c>
      <c r="BT480" t="s">
        <v>128</v>
      </c>
      <c r="BU480">
        <v>0</v>
      </c>
      <c r="BV480">
        <v>0</v>
      </c>
      <c r="BW480">
        <v>0</v>
      </c>
      <c r="BX480">
        <v>1</v>
      </c>
      <c r="CA480">
        <v>0</v>
      </c>
      <c r="CB480">
        <v>0</v>
      </c>
      <c r="CC480">
        <v>0</v>
      </c>
      <c r="CM480" t="str">
        <f>"17:48:55.995"</f>
        <v>17:48:55.995</v>
      </c>
      <c r="CN480">
        <v>995076570</v>
      </c>
      <c r="CQ480">
        <v>0</v>
      </c>
      <c r="CR480">
        <v>2016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3</v>
      </c>
      <c r="DB480">
        <v>2</v>
      </c>
      <c r="DC480">
        <v>0</v>
      </c>
      <c r="DD480">
        <v>2</v>
      </c>
      <c r="DE480">
        <v>0</v>
      </c>
      <c r="DF480">
        <v>7</v>
      </c>
      <c r="DG480">
        <v>7</v>
      </c>
      <c r="DH480" t="s">
        <v>124</v>
      </c>
      <c r="DI480">
        <v>71</v>
      </c>
      <c r="DJ480">
        <v>1</v>
      </c>
      <c r="DK480" t="s">
        <v>134</v>
      </c>
      <c r="DL480" t="s">
        <v>135</v>
      </c>
      <c r="DO480">
        <v>11662181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1</v>
      </c>
      <c r="DW480">
        <v>0</v>
      </c>
      <c r="DX480">
        <v>0</v>
      </c>
      <c r="DY480">
        <v>0</v>
      </c>
      <c r="DZ480">
        <v>0</v>
      </c>
      <c r="EA480">
        <v>0</v>
      </c>
    </row>
    <row r="481" spans="1:131" x14ac:dyDescent="0.35">
      <c r="A481" s="2" t="str">
        <f>"17:48:57.180"</f>
        <v>17:48:57.180</v>
      </c>
      <c r="B481" s="4">
        <f t="shared" si="79"/>
        <v>64137.18</v>
      </c>
      <c r="C481" s="4">
        <f t="shared" si="73"/>
        <v>537.18000000000029</v>
      </c>
      <c r="D481" s="3">
        <f t="shared" si="74"/>
        <v>0.7423284722222222</v>
      </c>
      <c r="E481" s="2">
        <f t="shared" si="75"/>
        <v>0.7423284722222222</v>
      </c>
      <c r="G481" t="str">
        <f t="shared" si="70"/>
        <v>FFDFD7C0</v>
      </c>
      <c r="H481" t="s">
        <v>126</v>
      </c>
      <c r="I481">
        <v>8</v>
      </c>
      <c r="J481">
        <v>1008</v>
      </c>
      <c r="K481" t="s">
        <v>129</v>
      </c>
      <c r="N481" t="s">
        <v>127</v>
      </c>
      <c r="O481">
        <v>0</v>
      </c>
      <c r="P481">
        <v>3</v>
      </c>
      <c r="Q481">
        <v>0</v>
      </c>
      <c r="R481">
        <v>2</v>
      </c>
      <c r="S481">
        <v>1</v>
      </c>
      <c r="T481">
        <v>0</v>
      </c>
      <c r="U481">
        <v>0</v>
      </c>
      <c r="W481" t="str">
        <f>"17:48:56.828"</f>
        <v>17:48:56.828</v>
      </c>
      <c r="X481" t="str">
        <f>"17:48:56.828"</f>
        <v>17:48:56.828</v>
      </c>
      <c r="Y481" t="str">
        <f t="shared" si="71"/>
        <v>A7C771</v>
      </c>
      <c r="Z481">
        <v>0</v>
      </c>
      <c r="AA481">
        <v>0</v>
      </c>
      <c r="AB481">
        <v>2</v>
      </c>
      <c r="AC481">
        <v>0</v>
      </c>
      <c r="AE481">
        <v>0</v>
      </c>
      <c r="AF481">
        <v>8</v>
      </c>
      <c r="AG481">
        <v>3</v>
      </c>
      <c r="AH481">
        <v>0</v>
      </c>
      <c r="AI481">
        <v>9</v>
      </c>
      <c r="AJ481" t="s">
        <v>125</v>
      </c>
      <c r="AK481">
        <v>0</v>
      </c>
      <c r="AL481">
        <v>3</v>
      </c>
      <c r="AM481">
        <v>2</v>
      </c>
      <c r="AN481">
        <v>1</v>
      </c>
      <c r="AO481" t="s">
        <v>1010</v>
      </c>
      <c r="AP481">
        <v>43.117989999999999</v>
      </c>
      <c r="AQ481" t="s">
        <v>1011</v>
      </c>
      <c r="AR481">
        <v>-77.581394000000003</v>
      </c>
      <c r="AS481">
        <v>25</v>
      </c>
      <c r="AT481">
        <v>1525</v>
      </c>
      <c r="AU481" t="s">
        <v>123</v>
      </c>
      <c r="AV481">
        <v>-110</v>
      </c>
      <c r="AW481">
        <v>56</v>
      </c>
      <c r="AX481">
        <v>-192</v>
      </c>
      <c r="AZ481">
        <f t="shared" si="76"/>
        <v>12100</v>
      </c>
      <c r="BA481">
        <f t="shared" si="77"/>
        <v>3136</v>
      </c>
      <c r="BB481" s="1">
        <f t="shared" si="78"/>
        <v>123.43419299367578</v>
      </c>
      <c r="BJ481">
        <v>1404</v>
      </c>
      <c r="BK481">
        <v>1</v>
      </c>
      <c r="BL481" t="str">
        <f t="shared" si="72"/>
        <v xml:space="preserve">N600C   </v>
      </c>
      <c r="BM481">
        <v>2</v>
      </c>
      <c r="BO481">
        <v>0</v>
      </c>
      <c r="BP481">
        <v>0</v>
      </c>
      <c r="BQ481">
        <v>0</v>
      </c>
      <c r="BR481">
        <v>1725</v>
      </c>
      <c r="BS481">
        <v>200</v>
      </c>
      <c r="BT481" t="s">
        <v>128</v>
      </c>
      <c r="BU481">
        <v>0</v>
      </c>
      <c r="BV481">
        <v>0</v>
      </c>
      <c r="BW481">
        <v>0</v>
      </c>
      <c r="BX481">
        <v>1</v>
      </c>
      <c r="CA481">
        <v>0</v>
      </c>
      <c r="CB481">
        <v>0</v>
      </c>
      <c r="CC481">
        <v>0</v>
      </c>
      <c r="CM481" t="str">
        <f>"17:48:56.835"</f>
        <v>17:48:56.835</v>
      </c>
      <c r="CN481">
        <v>835238369</v>
      </c>
      <c r="CQ481">
        <v>0</v>
      </c>
      <c r="CR481">
        <v>2016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3</v>
      </c>
      <c r="DB481">
        <v>2</v>
      </c>
      <c r="DC481">
        <v>0</v>
      </c>
      <c r="DD481">
        <v>2</v>
      </c>
      <c r="DE481">
        <v>0</v>
      </c>
      <c r="DF481">
        <v>7</v>
      </c>
      <c r="DG481">
        <v>7</v>
      </c>
      <c r="DH481" t="s">
        <v>124</v>
      </c>
      <c r="DI481">
        <v>71</v>
      </c>
      <c r="DJ481">
        <v>1</v>
      </c>
      <c r="DK481" t="s">
        <v>134</v>
      </c>
      <c r="DL481" t="s">
        <v>135</v>
      </c>
      <c r="DO481">
        <v>11662852</v>
      </c>
      <c r="DQ481">
        <v>0</v>
      </c>
      <c r="DR481">
        <v>0</v>
      </c>
      <c r="DS481">
        <v>1</v>
      </c>
      <c r="DT481">
        <v>0</v>
      </c>
      <c r="DU481">
        <v>0</v>
      </c>
      <c r="DV481">
        <v>1</v>
      </c>
      <c r="DW481">
        <v>0</v>
      </c>
      <c r="DX481">
        <v>0</v>
      </c>
      <c r="DY481">
        <v>0</v>
      </c>
      <c r="DZ481">
        <v>0</v>
      </c>
      <c r="EA481">
        <v>0</v>
      </c>
    </row>
    <row r="482" spans="1:131" x14ac:dyDescent="0.35">
      <c r="A482" s="2" t="str">
        <f>"17:48:58.149"</f>
        <v>17:48:58.149</v>
      </c>
      <c r="B482" s="4">
        <f t="shared" si="79"/>
        <v>64138.148999999998</v>
      </c>
      <c r="C482" s="4">
        <f t="shared" si="73"/>
        <v>538.14899999999761</v>
      </c>
      <c r="D482" s="3">
        <f t="shared" si="74"/>
        <v>0.74233968750000001</v>
      </c>
      <c r="E482" s="2">
        <f t="shared" si="75"/>
        <v>0.74233968750000001</v>
      </c>
      <c r="G482" t="str">
        <f t="shared" si="70"/>
        <v>FFDFD7C0</v>
      </c>
      <c r="H482" t="s">
        <v>126</v>
      </c>
      <c r="I482">
        <v>8</v>
      </c>
      <c r="J482">
        <v>1008</v>
      </c>
      <c r="K482" t="s">
        <v>129</v>
      </c>
      <c r="N482" t="s">
        <v>127</v>
      </c>
      <c r="O482">
        <v>0</v>
      </c>
      <c r="P482">
        <v>3</v>
      </c>
      <c r="Q482">
        <v>0</v>
      </c>
      <c r="R482">
        <v>2</v>
      </c>
      <c r="S482">
        <v>1</v>
      </c>
      <c r="T482">
        <v>0</v>
      </c>
      <c r="U482">
        <v>0</v>
      </c>
      <c r="W482" t="str">
        <f>"17:48:57.813"</f>
        <v>17:48:57.813</v>
      </c>
      <c r="X482" t="str">
        <f>"17:48:57.513"</f>
        <v>17:48:57.513</v>
      </c>
      <c r="Y482" t="str">
        <f t="shared" si="71"/>
        <v>A7C771</v>
      </c>
      <c r="Z482">
        <v>0</v>
      </c>
      <c r="AA482">
        <v>0</v>
      </c>
      <c r="AB482">
        <v>2</v>
      </c>
      <c r="AC482">
        <v>0</v>
      </c>
      <c r="AE482">
        <v>0</v>
      </c>
      <c r="AF482">
        <v>8</v>
      </c>
      <c r="AG482">
        <v>3</v>
      </c>
      <c r="AH482">
        <v>0</v>
      </c>
      <c r="AI482">
        <v>9</v>
      </c>
      <c r="AJ482" t="s">
        <v>125</v>
      </c>
      <c r="AK482">
        <v>0</v>
      </c>
      <c r="AL482">
        <v>3</v>
      </c>
      <c r="AM482">
        <v>2</v>
      </c>
      <c r="AN482">
        <v>1</v>
      </c>
      <c r="AO482" t="s">
        <v>1012</v>
      </c>
      <c r="AP482">
        <v>43.118226999999997</v>
      </c>
      <c r="AQ482" t="s">
        <v>1013</v>
      </c>
      <c r="AR482">
        <v>-77.582059000000001</v>
      </c>
      <c r="AS482">
        <v>25</v>
      </c>
      <c r="AT482">
        <v>1525</v>
      </c>
      <c r="AU482" t="s">
        <v>123</v>
      </c>
      <c r="AV482">
        <v>-111</v>
      </c>
      <c r="AW482">
        <v>53</v>
      </c>
      <c r="AX482">
        <v>-192</v>
      </c>
      <c r="AZ482">
        <f t="shared" si="76"/>
        <v>12321</v>
      </c>
      <c r="BA482">
        <f t="shared" si="77"/>
        <v>2809</v>
      </c>
      <c r="BB482" s="1">
        <f t="shared" si="78"/>
        <v>123.00406497347964</v>
      </c>
      <c r="BJ482">
        <v>1404</v>
      </c>
      <c r="BK482">
        <v>1</v>
      </c>
      <c r="BL482" t="str">
        <f t="shared" si="72"/>
        <v xml:space="preserve">N600C   </v>
      </c>
      <c r="BM482">
        <v>2</v>
      </c>
      <c r="BO482">
        <v>0</v>
      </c>
      <c r="BP482">
        <v>0</v>
      </c>
      <c r="BQ482">
        <v>0</v>
      </c>
      <c r="BR482">
        <v>1725</v>
      </c>
      <c r="BS482">
        <v>200</v>
      </c>
      <c r="BT482" t="s">
        <v>128</v>
      </c>
      <c r="BU482">
        <v>0</v>
      </c>
      <c r="BV482">
        <v>0</v>
      </c>
      <c r="BW482">
        <v>0</v>
      </c>
      <c r="BX482">
        <v>1</v>
      </c>
      <c r="CA482">
        <v>0</v>
      </c>
      <c r="CB482">
        <v>0</v>
      </c>
      <c r="CC482">
        <v>0</v>
      </c>
      <c r="CM482" t="str">
        <f>"17:48:57.819"</f>
        <v>17:48:57.819</v>
      </c>
      <c r="CN482">
        <v>819416810</v>
      </c>
      <c r="CQ482">
        <v>0</v>
      </c>
      <c r="CR482">
        <v>2016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3</v>
      </c>
      <c r="DB482">
        <v>2</v>
      </c>
      <c r="DC482">
        <v>0</v>
      </c>
      <c r="DD482">
        <v>2</v>
      </c>
      <c r="DE482">
        <v>0</v>
      </c>
      <c r="DF482">
        <v>7</v>
      </c>
      <c r="DG482">
        <v>7</v>
      </c>
      <c r="DH482" t="s">
        <v>124</v>
      </c>
      <c r="DI482">
        <v>71</v>
      </c>
      <c r="DJ482">
        <v>0</v>
      </c>
      <c r="DK482" t="s">
        <v>134</v>
      </c>
      <c r="DL482" t="s">
        <v>135</v>
      </c>
      <c r="DO482">
        <v>10293801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1</v>
      </c>
      <c r="DW482">
        <v>0</v>
      </c>
      <c r="DX482">
        <v>0</v>
      </c>
      <c r="DY482">
        <v>0</v>
      </c>
      <c r="DZ482">
        <v>0</v>
      </c>
      <c r="EA482">
        <v>0</v>
      </c>
    </row>
    <row r="483" spans="1:131" x14ac:dyDescent="0.35">
      <c r="A483" s="2" t="str">
        <f>"17:48:59.101"</f>
        <v>17:48:59.101</v>
      </c>
      <c r="B483" s="4">
        <f t="shared" si="79"/>
        <v>64139.100999999995</v>
      </c>
      <c r="C483" s="4">
        <f t="shared" si="73"/>
        <v>539.10099999999511</v>
      </c>
      <c r="D483" s="3">
        <f t="shared" si="74"/>
        <v>0.74235070601851849</v>
      </c>
      <c r="E483" s="2">
        <f t="shared" si="75"/>
        <v>0.74235070601851849</v>
      </c>
      <c r="G483" t="str">
        <f t="shared" si="70"/>
        <v>FFDFD7C0</v>
      </c>
      <c r="H483" t="s">
        <v>126</v>
      </c>
      <c r="I483">
        <v>8</v>
      </c>
      <c r="J483">
        <v>1008</v>
      </c>
      <c r="K483" t="s">
        <v>129</v>
      </c>
      <c r="N483" t="s">
        <v>127</v>
      </c>
      <c r="O483">
        <v>0</v>
      </c>
      <c r="P483">
        <v>3</v>
      </c>
      <c r="Q483">
        <v>0</v>
      </c>
      <c r="R483">
        <v>2</v>
      </c>
      <c r="S483">
        <v>1</v>
      </c>
      <c r="T483">
        <v>0</v>
      </c>
      <c r="U483">
        <v>0</v>
      </c>
      <c r="W483" t="str">
        <f>"17:48:58.773"</f>
        <v>17:48:58.773</v>
      </c>
      <c r="X483" t="str">
        <f>"17:48:58.773"</f>
        <v>17:48:58.773</v>
      </c>
      <c r="Y483" t="str">
        <f t="shared" si="71"/>
        <v>A7C771</v>
      </c>
      <c r="Z483">
        <v>0</v>
      </c>
      <c r="AA483">
        <v>0</v>
      </c>
      <c r="AB483">
        <v>2</v>
      </c>
      <c r="AC483">
        <v>0</v>
      </c>
      <c r="AE483">
        <v>0</v>
      </c>
      <c r="AF483">
        <v>8</v>
      </c>
      <c r="AG483">
        <v>3</v>
      </c>
      <c r="AH483">
        <v>0</v>
      </c>
      <c r="AI483">
        <v>9</v>
      </c>
      <c r="AJ483" t="s">
        <v>125</v>
      </c>
      <c r="AK483">
        <v>0</v>
      </c>
      <c r="AL483">
        <v>3</v>
      </c>
      <c r="AM483">
        <v>2</v>
      </c>
      <c r="AN483">
        <v>1</v>
      </c>
      <c r="AO483" t="s">
        <v>1014</v>
      </c>
      <c r="AP483">
        <v>43.118462999999998</v>
      </c>
      <c r="AQ483" t="s">
        <v>1015</v>
      </c>
      <c r="AR483">
        <v>-77.582702999999995</v>
      </c>
      <c r="AS483">
        <v>25</v>
      </c>
      <c r="AT483">
        <v>1525</v>
      </c>
      <c r="AU483" t="s">
        <v>123</v>
      </c>
      <c r="AV483">
        <v>-112</v>
      </c>
      <c r="AW483">
        <v>52</v>
      </c>
      <c r="AX483">
        <v>-256</v>
      </c>
      <c r="AZ483">
        <f t="shared" si="76"/>
        <v>12544</v>
      </c>
      <c r="BA483">
        <f t="shared" si="77"/>
        <v>2704</v>
      </c>
      <c r="BB483" s="1">
        <f t="shared" si="78"/>
        <v>123.48279232346505</v>
      </c>
      <c r="BJ483">
        <v>1404</v>
      </c>
      <c r="BK483">
        <v>1</v>
      </c>
      <c r="BL483" t="str">
        <f t="shared" si="72"/>
        <v xml:space="preserve">N600C   </v>
      </c>
      <c r="BM483">
        <v>2</v>
      </c>
      <c r="BO483">
        <v>0</v>
      </c>
      <c r="BP483">
        <v>0</v>
      </c>
      <c r="BQ483">
        <v>0</v>
      </c>
      <c r="BR483">
        <v>1725</v>
      </c>
      <c r="BS483">
        <v>200</v>
      </c>
      <c r="BT483" t="s">
        <v>128</v>
      </c>
      <c r="BU483">
        <v>0</v>
      </c>
      <c r="BV483">
        <v>0</v>
      </c>
      <c r="BW483">
        <v>0</v>
      </c>
      <c r="BX483">
        <v>1</v>
      </c>
      <c r="CA483">
        <v>0</v>
      </c>
      <c r="CB483">
        <v>0</v>
      </c>
      <c r="CC483">
        <v>0</v>
      </c>
      <c r="CM483" t="str">
        <f>"17:48:58.780"</f>
        <v>17:48:58.780</v>
      </c>
      <c r="CN483">
        <v>779587817</v>
      </c>
      <c r="CQ483">
        <v>0</v>
      </c>
      <c r="CR483">
        <v>2016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3</v>
      </c>
      <c r="DB483">
        <v>2</v>
      </c>
      <c r="DC483">
        <v>0</v>
      </c>
      <c r="DD483">
        <v>2</v>
      </c>
      <c r="DE483">
        <v>0</v>
      </c>
      <c r="DF483">
        <v>7</v>
      </c>
      <c r="DG483">
        <v>7</v>
      </c>
      <c r="DH483" t="s">
        <v>124</v>
      </c>
      <c r="DI483">
        <v>71</v>
      </c>
      <c r="DJ483">
        <v>0</v>
      </c>
      <c r="DK483" t="s">
        <v>134</v>
      </c>
      <c r="DL483" t="s">
        <v>135</v>
      </c>
      <c r="DO483">
        <v>10294445</v>
      </c>
      <c r="DQ483">
        <v>0</v>
      </c>
      <c r="DR483">
        <v>0</v>
      </c>
      <c r="DS483">
        <v>1</v>
      </c>
      <c r="DT483">
        <v>0</v>
      </c>
      <c r="DU483">
        <v>0</v>
      </c>
      <c r="DV483">
        <v>1</v>
      </c>
      <c r="DW483">
        <v>0</v>
      </c>
      <c r="DX483">
        <v>0</v>
      </c>
      <c r="DY483">
        <v>0</v>
      </c>
      <c r="DZ483">
        <v>0</v>
      </c>
      <c r="EA483">
        <v>0</v>
      </c>
    </row>
    <row r="484" spans="1:131" x14ac:dyDescent="0.35">
      <c r="A484" s="2" t="str">
        <f>"17:49:00.148"</f>
        <v>17:49:00.148</v>
      </c>
      <c r="B484" s="4">
        <f t="shared" si="79"/>
        <v>64140.148000000001</v>
      </c>
      <c r="C484" s="4">
        <f t="shared" si="73"/>
        <v>540.14800000000105</v>
      </c>
      <c r="D484" s="3">
        <f t="shared" si="74"/>
        <v>0.74236282407407406</v>
      </c>
      <c r="E484" s="2">
        <f t="shared" si="75"/>
        <v>0.74236282407407406</v>
      </c>
      <c r="G484" t="str">
        <f t="shared" si="70"/>
        <v>FFDFD7C0</v>
      </c>
      <c r="H484" t="s">
        <v>126</v>
      </c>
      <c r="I484">
        <v>8</v>
      </c>
      <c r="J484">
        <v>1008</v>
      </c>
      <c r="K484" t="s">
        <v>129</v>
      </c>
      <c r="N484" t="s">
        <v>127</v>
      </c>
      <c r="O484">
        <v>0</v>
      </c>
      <c r="P484">
        <v>3</v>
      </c>
      <c r="Q484">
        <v>0</v>
      </c>
      <c r="R484">
        <v>2</v>
      </c>
      <c r="S484">
        <v>1</v>
      </c>
      <c r="T484">
        <v>0</v>
      </c>
      <c r="U484">
        <v>0</v>
      </c>
      <c r="W484" t="str">
        <f>"17:48:59.789"</f>
        <v>17:48:59.789</v>
      </c>
      <c r="X484" t="str">
        <f>"17:48:59.789"</f>
        <v>17:48:59.789</v>
      </c>
      <c r="Y484" t="str">
        <f t="shared" si="71"/>
        <v>A7C771</v>
      </c>
      <c r="Z484">
        <v>0</v>
      </c>
      <c r="AA484">
        <v>0</v>
      </c>
      <c r="AB484">
        <v>2</v>
      </c>
      <c r="AC484">
        <v>0</v>
      </c>
      <c r="AE484">
        <v>0</v>
      </c>
      <c r="AF484">
        <v>8</v>
      </c>
      <c r="AG484">
        <v>3</v>
      </c>
      <c r="AH484">
        <v>0</v>
      </c>
      <c r="AI484">
        <v>9</v>
      </c>
      <c r="AJ484" t="s">
        <v>125</v>
      </c>
      <c r="AK484">
        <v>0</v>
      </c>
      <c r="AL484">
        <v>3</v>
      </c>
      <c r="AM484">
        <v>2</v>
      </c>
      <c r="AN484">
        <v>1</v>
      </c>
      <c r="AO484" t="s">
        <v>1016</v>
      </c>
      <c r="AP484">
        <v>43.118676999999998</v>
      </c>
      <c r="AQ484" t="s">
        <v>1017</v>
      </c>
      <c r="AR484">
        <v>-77.583410999999998</v>
      </c>
      <c r="AS484">
        <v>25</v>
      </c>
      <c r="AT484">
        <v>1525</v>
      </c>
      <c r="AU484" t="s">
        <v>123</v>
      </c>
      <c r="AV484">
        <v>-113</v>
      </c>
      <c r="AW484">
        <v>50</v>
      </c>
      <c r="AX484">
        <v>-320</v>
      </c>
      <c r="AZ484">
        <f t="shared" si="76"/>
        <v>12769</v>
      </c>
      <c r="BA484">
        <f t="shared" si="77"/>
        <v>2500</v>
      </c>
      <c r="BB484" s="1">
        <f t="shared" si="78"/>
        <v>123.5677951571525</v>
      </c>
      <c r="BJ484">
        <v>1404</v>
      </c>
      <c r="BK484">
        <v>1</v>
      </c>
      <c r="BL484" t="str">
        <f t="shared" si="72"/>
        <v xml:space="preserve">N600C   </v>
      </c>
      <c r="BM484">
        <v>2</v>
      </c>
      <c r="BO484">
        <v>0</v>
      </c>
      <c r="BP484">
        <v>0</v>
      </c>
      <c r="BQ484">
        <v>0</v>
      </c>
      <c r="BR484">
        <v>1725</v>
      </c>
      <c r="BS484">
        <v>200</v>
      </c>
      <c r="BT484" t="s">
        <v>128</v>
      </c>
      <c r="BU484">
        <v>0</v>
      </c>
      <c r="BV484">
        <v>0</v>
      </c>
      <c r="BW484">
        <v>0</v>
      </c>
      <c r="BX484">
        <v>1</v>
      </c>
      <c r="CA484">
        <v>0</v>
      </c>
      <c r="CB484">
        <v>0</v>
      </c>
      <c r="CC484">
        <v>0</v>
      </c>
      <c r="CM484" t="str">
        <f>"17:48:59.796"</f>
        <v>17:48:59.796</v>
      </c>
      <c r="CN484">
        <v>795772253</v>
      </c>
      <c r="CQ484">
        <v>0</v>
      </c>
      <c r="CR484">
        <v>2016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3</v>
      </c>
      <c r="DB484">
        <v>2</v>
      </c>
      <c r="DC484">
        <v>0</v>
      </c>
      <c r="DD484">
        <v>2</v>
      </c>
      <c r="DE484">
        <v>0</v>
      </c>
      <c r="DF484">
        <v>7</v>
      </c>
      <c r="DG484">
        <v>7</v>
      </c>
      <c r="DH484" t="s">
        <v>124</v>
      </c>
      <c r="DI484">
        <v>71</v>
      </c>
      <c r="DJ484">
        <v>1</v>
      </c>
      <c r="DK484" t="s">
        <v>134</v>
      </c>
      <c r="DL484" t="s">
        <v>135</v>
      </c>
      <c r="DO484">
        <v>11665260</v>
      </c>
      <c r="DQ484">
        <v>0</v>
      </c>
      <c r="DR484">
        <v>0</v>
      </c>
      <c r="DS484">
        <v>1</v>
      </c>
      <c r="DT484">
        <v>0</v>
      </c>
      <c r="DU484">
        <v>0</v>
      </c>
      <c r="DV484">
        <v>1</v>
      </c>
      <c r="DW484">
        <v>0</v>
      </c>
      <c r="DX484">
        <v>0</v>
      </c>
      <c r="DY484">
        <v>0</v>
      </c>
      <c r="DZ484">
        <v>0</v>
      </c>
      <c r="EA484">
        <v>0</v>
      </c>
    </row>
    <row r="485" spans="1:131" x14ac:dyDescent="0.35">
      <c r="A485" s="2" t="str">
        <f>"17:49:01.171"</f>
        <v>17:49:01.171</v>
      </c>
      <c r="B485" s="4">
        <f t="shared" si="79"/>
        <v>64141.171000000002</v>
      </c>
      <c r="C485" s="4">
        <f t="shared" si="73"/>
        <v>541.1710000000021</v>
      </c>
      <c r="D485" s="3">
        <f t="shared" si="74"/>
        <v>0.74237466435185184</v>
      </c>
      <c r="E485" s="2">
        <f t="shared" si="75"/>
        <v>0.74237466435185184</v>
      </c>
      <c r="G485" t="str">
        <f t="shared" si="70"/>
        <v>FFDFD7C0</v>
      </c>
      <c r="H485" t="s">
        <v>126</v>
      </c>
      <c r="I485">
        <v>8</v>
      </c>
      <c r="J485">
        <v>1008</v>
      </c>
      <c r="K485" t="s">
        <v>129</v>
      </c>
      <c r="N485" t="s">
        <v>127</v>
      </c>
      <c r="O485">
        <v>0</v>
      </c>
      <c r="P485">
        <v>3</v>
      </c>
      <c r="Q485">
        <v>0</v>
      </c>
      <c r="R485">
        <v>2</v>
      </c>
      <c r="S485">
        <v>1</v>
      </c>
      <c r="T485">
        <v>0</v>
      </c>
      <c r="U485">
        <v>0</v>
      </c>
      <c r="W485" t="str">
        <f>"17:49:00.898"</f>
        <v>17:49:00.898</v>
      </c>
      <c r="X485" t="str">
        <f>"17:49:00.598"</f>
        <v>17:49:00.598</v>
      </c>
      <c r="Y485" t="str">
        <f t="shared" si="71"/>
        <v>A7C771</v>
      </c>
      <c r="Z485">
        <v>0</v>
      </c>
      <c r="AA485">
        <v>0</v>
      </c>
      <c r="AB485">
        <v>2</v>
      </c>
      <c r="AC485">
        <v>0</v>
      </c>
      <c r="AE485">
        <v>0</v>
      </c>
      <c r="AF485">
        <v>8</v>
      </c>
      <c r="AG485">
        <v>3</v>
      </c>
      <c r="AH485">
        <v>0</v>
      </c>
      <c r="AI485">
        <v>9</v>
      </c>
      <c r="AJ485" t="s">
        <v>125</v>
      </c>
      <c r="AK485">
        <v>0</v>
      </c>
      <c r="AL485">
        <v>3</v>
      </c>
      <c r="AM485">
        <v>2</v>
      </c>
      <c r="AN485">
        <v>1</v>
      </c>
      <c r="AO485" t="s">
        <v>1018</v>
      </c>
      <c r="AP485">
        <v>43.118912999999999</v>
      </c>
      <c r="AQ485" t="s">
        <v>1019</v>
      </c>
      <c r="AR485">
        <v>-77.584204999999997</v>
      </c>
      <c r="AS485">
        <v>25</v>
      </c>
      <c r="AT485">
        <v>1500</v>
      </c>
      <c r="AU485" t="s">
        <v>123</v>
      </c>
      <c r="AV485">
        <v>-113</v>
      </c>
      <c r="AW485">
        <v>49</v>
      </c>
      <c r="AX485">
        <v>-384</v>
      </c>
      <c r="AZ485">
        <f t="shared" si="76"/>
        <v>12769</v>
      </c>
      <c r="BA485">
        <f t="shared" si="77"/>
        <v>2401</v>
      </c>
      <c r="BB485" s="1">
        <f t="shared" si="78"/>
        <v>123.16655390161731</v>
      </c>
      <c r="BJ485">
        <v>1404</v>
      </c>
      <c r="BK485">
        <v>1</v>
      </c>
      <c r="BL485" t="str">
        <f t="shared" si="72"/>
        <v xml:space="preserve">N600C   </v>
      </c>
      <c r="BM485">
        <v>2</v>
      </c>
      <c r="BO485">
        <v>0</v>
      </c>
      <c r="BP485">
        <v>0</v>
      </c>
      <c r="BQ485">
        <v>0</v>
      </c>
      <c r="BR485">
        <v>1700</v>
      </c>
      <c r="BS485">
        <v>200</v>
      </c>
      <c r="BT485" t="s">
        <v>128</v>
      </c>
      <c r="BU485">
        <v>0</v>
      </c>
      <c r="BV485">
        <v>0</v>
      </c>
      <c r="BW485">
        <v>0</v>
      </c>
      <c r="BX485">
        <v>1</v>
      </c>
      <c r="CA485">
        <v>0</v>
      </c>
      <c r="CB485">
        <v>0</v>
      </c>
      <c r="CC485">
        <v>0</v>
      </c>
      <c r="CM485" t="str">
        <f>"17:49:00.900"</f>
        <v>17:49:00.900</v>
      </c>
      <c r="CN485">
        <v>899971005</v>
      </c>
      <c r="CQ485">
        <v>0</v>
      </c>
      <c r="CR485">
        <v>2016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3</v>
      </c>
      <c r="DB485">
        <v>2</v>
      </c>
      <c r="DC485">
        <v>0</v>
      </c>
      <c r="DD485">
        <v>2</v>
      </c>
      <c r="DE485">
        <v>0</v>
      </c>
      <c r="DF485">
        <v>7</v>
      </c>
      <c r="DG485">
        <v>7</v>
      </c>
      <c r="DH485" t="s">
        <v>124</v>
      </c>
      <c r="DI485">
        <v>71</v>
      </c>
      <c r="DJ485">
        <v>0</v>
      </c>
      <c r="DK485" t="s">
        <v>134</v>
      </c>
      <c r="DL485" t="s">
        <v>135</v>
      </c>
      <c r="DO485">
        <v>10296132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1</v>
      </c>
      <c r="DW485">
        <v>0</v>
      </c>
      <c r="DX485">
        <v>0</v>
      </c>
      <c r="DY485">
        <v>0</v>
      </c>
      <c r="DZ485">
        <v>0</v>
      </c>
      <c r="EA485">
        <v>0</v>
      </c>
    </row>
    <row r="486" spans="1:131" x14ac:dyDescent="0.35">
      <c r="A486" s="2" t="str">
        <f>"17:49:02.185"</f>
        <v>17:49:02.185</v>
      </c>
      <c r="B486" s="4">
        <f t="shared" si="79"/>
        <v>64142.18499999999</v>
      </c>
      <c r="C486" s="4">
        <f t="shared" si="73"/>
        <v>542.1849999999904</v>
      </c>
      <c r="D486" s="3">
        <f t="shared" si="74"/>
        <v>0.74238640046296289</v>
      </c>
      <c r="E486" s="2">
        <f t="shared" si="75"/>
        <v>0.74238640046296289</v>
      </c>
      <c r="G486" t="str">
        <f t="shared" si="70"/>
        <v>FFDFD7C0</v>
      </c>
      <c r="H486" t="s">
        <v>126</v>
      </c>
      <c r="I486">
        <v>8</v>
      </c>
      <c r="J486">
        <v>1008</v>
      </c>
      <c r="K486" t="s">
        <v>129</v>
      </c>
      <c r="N486" t="s">
        <v>127</v>
      </c>
      <c r="O486">
        <v>0</v>
      </c>
      <c r="P486">
        <v>3</v>
      </c>
      <c r="Q486">
        <v>0</v>
      </c>
      <c r="R486">
        <v>2</v>
      </c>
      <c r="S486">
        <v>1</v>
      </c>
      <c r="T486">
        <v>0</v>
      </c>
      <c r="U486">
        <v>0</v>
      </c>
      <c r="W486" t="str">
        <f>"17:49:01.883"</f>
        <v>17:49:01.883</v>
      </c>
      <c r="X486" t="str">
        <f>"17:49:01.583"</f>
        <v>17:49:01.583</v>
      </c>
      <c r="Y486" t="str">
        <f t="shared" si="71"/>
        <v>A7C771</v>
      </c>
      <c r="Z486">
        <v>0</v>
      </c>
      <c r="AA486">
        <v>0</v>
      </c>
      <c r="AB486">
        <v>2</v>
      </c>
      <c r="AC486">
        <v>0</v>
      </c>
      <c r="AE486">
        <v>0</v>
      </c>
      <c r="AF486">
        <v>8</v>
      </c>
      <c r="AG486">
        <v>3</v>
      </c>
      <c r="AH486">
        <v>0</v>
      </c>
      <c r="AI486">
        <v>9</v>
      </c>
      <c r="AJ486" t="s">
        <v>125</v>
      </c>
      <c r="AK486">
        <v>0</v>
      </c>
      <c r="AL486">
        <v>3</v>
      </c>
      <c r="AM486">
        <v>2</v>
      </c>
      <c r="AN486">
        <v>1</v>
      </c>
      <c r="AO486" t="s">
        <v>1020</v>
      </c>
      <c r="AP486">
        <v>43.119149</v>
      </c>
      <c r="AQ486" t="s">
        <v>1021</v>
      </c>
      <c r="AR486">
        <v>-77.584934000000004</v>
      </c>
      <c r="AS486">
        <v>25</v>
      </c>
      <c r="AT486">
        <v>1500</v>
      </c>
      <c r="AU486" t="s">
        <v>123</v>
      </c>
      <c r="AV486">
        <v>-113</v>
      </c>
      <c r="AW486">
        <v>48</v>
      </c>
      <c r="AX486">
        <v>-448</v>
      </c>
      <c r="AZ486">
        <f t="shared" si="76"/>
        <v>12769</v>
      </c>
      <c r="BA486">
        <f t="shared" si="77"/>
        <v>2304</v>
      </c>
      <c r="BB486" s="1">
        <f t="shared" si="78"/>
        <v>122.7721466783081</v>
      </c>
      <c r="BJ486">
        <v>1404</v>
      </c>
      <c r="BK486">
        <v>1</v>
      </c>
      <c r="BL486" t="str">
        <f t="shared" si="72"/>
        <v xml:space="preserve">N600C   </v>
      </c>
      <c r="BM486">
        <v>2</v>
      </c>
      <c r="BO486">
        <v>0</v>
      </c>
      <c r="BP486">
        <v>0</v>
      </c>
      <c r="BQ486">
        <v>0</v>
      </c>
      <c r="BR486">
        <v>1700</v>
      </c>
      <c r="BS486">
        <v>200</v>
      </c>
      <c r="BT486" t="s">
        <v>128</v>
      </c>
      <c r="BU486">
        <v>0</v>
      </c>
      <c r="BV486">
        <v>0</v>
      </c>
      <c r="BW486">
        <v>0</v>
      </c>
      <c r="BX486">
        <v>1</v>
      </c>
      <c r="CA486">
        <v>0</v>
      </c>
      <c r="CB486">
        <v>0</v>
      </c>
      <c r="CC486">
        <v>0</v>
      </c>
      <c r="CM486" t="str">
        <f>"17:49:01.884"</f>
        <v>17:49:01.884</v>
      </c>
      <c r="CN486">
        <v>884165515</v>
      </c>
      <c r="CQ486">
        <v>0</v>
      </c>
      <c r="CR486">
        <v>2016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3</v>
      </c>
      <c r="DB486">
        <v>2</v>
      </c>
      <c r="DC486">
        <v>0</v>
      </c>
      <c r="DD486">
        <v>2</v>
      </c>
      <c r="DE486">
        <v>0</v>
      </c>
      <c r="DF486">
        <v>7</v>
      </c>
      <c r="DG486">
        <v>7</v>
      </c>
      <c r="DH486" t="s">
        <v>124</v>
      </c>
      <c r="DI486">
        <v>71</v>
      </c>
      <c r="DJ486">
        <v>1</v>
      </c>
      <c r="DK486" t="s">
        <v>134</v>
      </c>
      <c r="DL486" t="s">
        <v>135</v>
      </c>
      <c r="DO486">
        <v>11667039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1</v>
      </c>
      <c r="DW486">
        <v>0</v>
      </c>
      <c r="DX486">
        <v>0</v>
      </c>
      <c r="DY486">
        <v>0</v>
      </c>
      <c r="DZ486">
        <v>0</v>
      </c>
      <c r="EA486">
        <v>0</v>
      </c>
    </row>
    <row r="487" spans="1:131" x14ac:dyDescent="0.35">
      <c r="A487" s="2" t="str">
        <f>"17:49:03.138"</f>
        <v>17:49:03.138</v>
      </c>
      <c r="B487" s="4">
        <f t="shared" si="79"/>
        <v>64143.137999999999</v>
      </c>
      <c r="C487" s="4">
        <f t="shared" si="73"/>
        <v>543.13799999999901</v>
      </c>
      <c r="D487" s="3">
        <f t="shared" si="74"/>
        <v>0.74239743055555552</v>
      </c>
      <c r="E487" s="2">
        <f t="shared" si="75"/>
        <v>0.74239743055555552</v>
      </c>
      <c r="G487" t="str">
        <f t="shared" si="70"/>
        <v>FFDFD7C0</v>
      </c>
      <c r="H487" t="s">
        <v>126</v>
      </c>
      <c r="I487">
        <v>8</v>
      </c>
      <c r="J487">
        <v>1008</v>
      </c>
      <c r="K487" t="s">
        <v>129</v>
      </c>
      <c r="N487" t="s">
        <v>127</v>
      </c>
      <c r="O487">
        <v>0</v>
      </c>
      <c r="P487">
        <v>3</v>
      </c>
      <c r="Q487">
        <v>0</v>
      </c>
      <c r="R487">
        <v>2</v>
      </c>
      <c r="S487">
        <v>1</v>
      </c>
      <c r="T487">
        <v>0</v>
      </c>
      <c r="U487">
        <v>0</v>
      </c>
      <c r="W487" t="str">
        <f>"17:49:02.875"</f>
        <v>17:49:02.875</v>
      </c>
      <c r="X487" t="str">
        <f>"17:49:02.875"</f>
        <v>17:49:02.875</v>
      </c>
      <c r="Y487" t="str">
        <f t="shared" si="71"/>
        <v>A7C771</v>
      </c>
      <c r="Z487">
        <v>0</v>
      </c>
      <c r="AA487">
        <v>0</v>
      </c>
      <c r="AB487">
        <v>2</v>
      </c>
      <c r="AC487">
        <v>0</v>
      </c>
      <c r="AE487">
        <v>0</v>
      </c>
      <c r="AF487">
        <v>8</v>
      </c>
      <c r="AG487">
        <v>3</v>
      </c>
      <c r="AH487">
        <v>0</v>
      </c>
      <c r="AI487">
        <v>9</v>
      </c>
      <c r="AJ487" t="s">
        <v>125</v>
      </c>
      <c r="AK487">
        <v>0</v>
      </c>
      <c r="AL487">
        <v>3</v>
      </c>
      <c r="AM487">
        <v>2</v>
      </c>
      <c r="AN487">
        <v>1</v>
      </c>
      <c r="AO487" t="s">
        <v>1022</v>
      </c>
      <c r="AP487">
        <v>43.119385000000001</v>
      </c>
      <c r="AQ487" t="s">
        <v>1023</v>
      </c>
      <c r="AR487">
        <v>-77.585642000000007</v>
      </c>
      <c r="AS487">
        <v>25</v>
      </c>
      <c r="AT487">
        <v>1500</v>
      </c>
      <c r="AU487" t="s">
        <v>123</v>
      </c>
      <c r="AV487">
        <v>-113</v>
      </c>
      <c r="AW487">
        <v>48</v>
      </c>
      <c r="AX487">
        <v>-576</v>
      </c>
      <c r="AZ487">
        <f t="shared" si="76"/>
        <v>12769</v>
      </c>
      <c r="BA487">
        <f t="shared" si="77"/>
        <v>2304</v>
      </c>
      <c r="BB487" s="1">
        <f t="shared" si="78"/>
        <v>122.7721466783081</v>
      </c>
      <c r="BJ487">
        <v>1404</v>
      </c>
      <c r="BK487">
        <v>1</v>
      </c>
      <c r="BL487" t="str">
        <f t="shared" si="72"/>
        <v xml:space="preserve">N600C   </v>
      </c>
      <c r="BM487">
        <v>2</v>
      </c>
      <c r="BO487">
        <v>0</v>
      </c>
      <c r="BP487">
        <v>0</v>
      </c>
      <c r="BQ487">
        <v>0</v>
      </c>
      <c r="BR487">
        <v>1700</v>
      </c>
      <c r="BS487">
        <v>200</v>
      </c>
      <c r="BT487" t="s">
        <v>128</v>
      </c>
      <c r="BU487">
        <v>0</v>
      </c>
      <c r="BV487">
        <v>0</v>
      </c>
      <c r="BW487">
        <v>0</v>
      </c>
      <c r="BX487">
        <v>1</v>
      </c>
      <c r="CA487">
        <v>0</v>
      </c>
      <c r="CB487">
        <v>0</v>
      </c>
      <c r="CC487">
        <v>0</v>
      </c>
      <c r="CM487" t="str">
        <f>"17:49:02.876"</f>
        <v>17:49:02.876</v>
      </c>
      <c r="CN487">
        <v>876333920</v>
      </c>
      <c r="CQ487">
        <v>0</v>
      </c>
      <c r="CR487">
        <v>2016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3</v>
      </c>
      <c r="DB487">
        <v>2</v>
      </c>
      <c r="DC487">
        <v>0</v>
      </c>
      <c r="DD487">
        <v>2</v>
      </c>
      <c r="DE487">
        <v>0</v>
      </c>
      <c r="DF487">
        <v>7</v>
      </c>
      <c r="DG487">
        <v>7</v>
      </c>
      <c r="DH487" t="s">
        <v>124</v>
      </c>
      <c r="DI487">
        <v>71</v>
      </c>
      <c r="DJ487">
        <v>0</v>
      </c>
      <c r="DK487" t="s">
        <v>134</v>
      </c>
      <c r="DL487" t="s">
        <v>135</v>
      </c>
      <c r="DO487">
        <v>10297584</v>
      </c>
      <c r="DQ487">
        <v>0</v>
      </c>
      <c r="DR487">
        <v>0</v>
      </c>
      <c r="DS487">
        <v>1</v>
      </c>
      <c r="DT487">
        <v>0</v>
      </c>
      <c r="DU487">
        <v>0</v>
      </c>
      <c r="DV487">
        <v>1</v>
      </c>
      <c r="DW487">
        <v>0</v>
      </c>
      <c r="DX487">
        <v>0</v>
      </c>
      <c r="DY487">
        <v>0</v>
      </c>
      <c r="DZ487">
        <v>0</v>
      </c>
      <c r="EA487">
        <v>0</v>
      </c>
    </row>
    <row r="488" spans="1:131" x14ac:dyDescent="0.35">
      <c r="A488" s="2" t="str">
        <f>"17:49:04.288"</f>
        <v>17:49:04.288</v>
      </c>
      <c r="B488" s="4">
        <f t="shared" si="79"/>
        <v>64144.288</v>
      </c>
      <c r="C488" s="4">
        <f t="shared" si="73"/>
        <v>544.28800000000047</v>
      </c>
      <c r="D488" s="3">
        <f t="shared" si="74"/>
        <v>0.74241074074074076</v>
      </c>
      <c r="E488" s="2">
        <f t="shared" si="75"/>
        <v>0.74241074074074076</v>
      </c>
      <c r="G488" t="str">
        <f t="shared" si="70"/>
        <v>FFDFD7C0</v>
      </c>
      <c r="H488" t="s">
        <v>126</v>
      </c>
      <c r="I488">
        <v>8</v>
      </c>
      <c r="J488">
        <v>1008</v>
      </c>
      <c r="K488" t="s">
        <v>129</v>
      </c>
      <c r="N488" t="s">
        <v>127</v>
      </c>
      <c r="O488">
        <v>0</v>
      </c>
      <c r="P488">
        <v>3</v>
      </c>
      <c r="Q488">
        <v>0</v>
      </c>
      <c r="R488">
        <v>2</v>
      </c>
      <c r="S488">
        <v>1</v>
      </c>
      <c r="T488">
        <v>0</v>
      </c>
      <c r="U488">
        <v>0</v>
      </c>
      <c r="W488" t="str">
        <f>"17:49:03.906"</f>
        <v>17:49:03.906</v>
      </c>
      <c r="X488" t="str">
        <f>"17:49:03.906"</f>
        <v>17:49:03.906</v>
      </c>
      <c r="Y488" t="str">
        <f t="shared" si="71"/>
        <v>A7C771</v>
      </c>
      <c r="Z488">
        <v>0</v>
      </c>
      <c r="AA488">
        <v>0</v>
      </c>
      <c r="AB488">
        <v>2</v>
      </c>
      <c r="AC488">
        <v>0</v>
      </c>
      <c r="AE488">
        <v>0</v>
      </c>
      <c r="AF488">
        <v>8</v>
      </c>
      <c r="AG488">
        <v>3</v>
      </c>
      <c r="AH488">
        <v>0</v>
      </c>
      <c r="AI488">
        <v>9</v>
      </c>
      <c r="AJ488" t="s">
        <v>125</v>
      </c>
      <c r="AK488">
        <v>0</v>
      </c>
      <c r="AL488">
        <v>3</v>
      </c>
      <c r="AM488">
        <v>2</v>
      </c>
      <c r="AN488">
        <v>1</v>
      </c>
      <c r="AO488" t="s">
        <v>1024</v>
      </c>
      <c r="AP488">
        <v>43.119577999999997</v>
      </c>
      <c r="AQ488" t="s">
        <v>1025</v>
      </c>
      <c r="AR488">
        <v>-77.586371999999997</v>
      </c>
      <c r="AS488">
        <v>25</v>
      </c>
      <c r="AT488">
        <v>1475</v>
      </c>
      <c r="AU488" t="s">
        <v>123</v>
      </c>
      <c r="AV488">
        <v>-113</v>
      </c>
      <c r="AW488">
        <v>48</v>
      </c>
      <c r="AX488">
        <v>-448</v>
      </c>
      <c r="AZ488">
        <f t="shared" si="76"/>
        <v>12769</v>
      </c>
      <c r="BA488">
        <f t="shared" si="77"/>
        <v>2304</v>
      </c>
      <c r="BB488" s="1">
        <f t="shared" si="78"/>
        <v>122.7721466783081</v>
      </c>
      <c r="BJ488">
        <v>1404</v>
      </c>
      <c r="BK488">
        <v>1</v>
      </c>
      <c r="BL488" t="str">
        <f t="shared" si="72"/>
        <v xml:space="preserve">N600C   </v>
      </c>
      <c r="BM488">
        <v>2</v>
      </c>
      <c r="BO488">
        <v>0</v>
      </c>
      <c r="BP488">
        <v>0</v>
      </c>
      <c r="BQ488">
        <v>0</v>
      </c>
      <c r="BR488">
        <v>1675</v>
      </c>
      <c r="BS488">
        <v>200</v>
      </c>
      <c r="BT488" t="s">
        <v>128</v>
      </c>
      <c r="BU488">
        <v>0</v>
      </c>
      <c r="BV488">
        <v>0</v>
      </c>
      <c r="BW488">
        <v>0</v>
      </c>
      <c r="BX488">
        <v>1</v>
      </c>
      <c r="CA488">
        <v>0</v>
      </c>
      <c r="CB488">
        <v>0</v>
      </c>
      <c r="CC488">
        <v>0</v>
      </c>
      <c r="CM488" t="str">
        <f>"17:49:03.909"</f>
        <v>17:49:03.909</v>
      </c>
      <c r="CN488">
        <v>908530354</v>
      </c>
      <c r="CQ488">
        <v>0</v>
      </c>
      <c r="CR488">
        <v>2016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3</v>
      </c>
      <c r="DB488">
        <v>2</v>
      </c>
      <c r="DC488">
        <v>0</v>
      </c>
      <c r="DD488">
        <v>2</v>
      </c>
      <c r="DE488">
        <v>0</v>
      </c>
      <c r="DF488">
        <v>7</v>
      </c>
      <c r="DG488">
        <v>7</v>
      </c>
      <c r="DH488" t="s">
        <v>124</v>
      </c>
      <c r="DI488">
        <v>71</v>
      </c>
      <c r="DJ488">
        <v>1</v>
      </c>
      <c r="DK488" t="s">
        <v>134</v>
      </c>
      <c r="DL488" t="s">
        <v>135</v>
      </c>
      <c r="DO488">
        <v>11668694</v>
      </c>
      <c r="DQ488">
        <v>0</v>
      </c>
      <c r="DR488">
        <v>0</v>
      </c>
      <c r="DS488">
        <v>1</v>
      </c>
      <c r="DT488">
        <v>0</v>
      </c>
      <c r="DU488">
        <v>0</v>
      </c>
      <c r="DV488">
        <v>1</v>
      </c>
      <c r="DW488">
        <v>0</v>
      </c>
      <c r="DX488">
        <v>0</v>
      </c>
      <c r="DY488">
        <v>0</v>
      </c>
      <c r="DZ488">
        <v>0</v>
      </c>
      <c r="EA488">
        <v>0</v>
      </c>
    </row>
    <row r="489" spans="1:131" x14ac:dyDescent="0.35">
      <c r="A489" s="2" t="str">
        <f>"17:49:05.373"</f>
        <v>17:49:05.373</v>
      </c>
      <c r="B489" s="4">
        <f t="shared" si="79"/>
        <v>64145.373</v>
      </c>
      <c r="C489" s="4">
        <f t="shared" si="73"/>
        <v>545.37299999999959</v>
      </c>
      <c r="D489" s="3">
        <f t="shared" si="74"/>
        <v>0.74242329861111112</v>
      </c>
      <c r="E489" s="2">
        <f t="shared" si="75"/>
        <v>0.74242329861111112</v>
      </c>
      <c r="G489" t="str">
        <f t="shared" si="70"/>
        <v>FFDFD7C0</v>
      </c>
      <c r="H489" t="s">
        <v>126</v>
      </c>
      <c r="I489">
        <v>8</v>
      </c>
      <c r="J489">
        <v>1008</v>
      </c>
      <c r="K489" t="s">
        <v>129</v>
      </c>
      <c r="N489" t="s">
        <v>127</v>
      </c>
      <c r="O489">
        <v>0</v>
      </c>
      <c r="P489">
        <v>3</v>
      </c>
      <c r="Q489">
        <v>0</v>
      </c>
      <c r="R489">
        <v>2</v>
      </c>
      <c r="S489">
        <v>1</v>
      </c>
      <c r="T489">
        <v>0</v>
      </c>
      <c r="U489">
        <v>0</v>
      </c>
      <c r="W489" t="str">
        <f>"17:49:05.070"</f>
        <v>17:49:05.070</v>
      </c>
      <c r="X489" t="str">
        <f>"17:49:04.970"</f>
        <v>17:49:04.970</v>
      </c>
      <c r="Y489" t="str">
        <f t="shared" si="71"/>
        <v>A7C771</v>
      </c>
      <c r="Z489">
        <v>0</v>
      </c>
      <c r="AA489">
        <v>0</v>
      </c>
      <c r="AB489">
        <v>2</v>
      </c>
      <c r="AC489">
        <v>0</v>
      </c>
      <c r="AE489">
        <v>0</v>
      </c>
      <c r="AF489">
        <v>8</v>
      </c>
      <c r="AG489">
        <v>3</v>
      </c>
      <c r="AH489">
        <v>0</v>
      </c>
      <c r="AI489">
        <v>9</v>
      </c>
      <c r="AJ489" t="s">
        <v>125</v>
      </c>
      <c r="AK489">
        <v>0</v>
      </c>
      <c r="AL489">
        <v>3</v>
      </c>
      <c r="AM489">
        <v>2</v>
      </c>
      <c r="AN489">
        <v>1</v>
      </c>
      <c r="AO489" t="s">
        <v>1026</v>
      </c>
      <c r="AP489">
        <v>43.119857000000003</v>
      </c>
      <c r="AQ489" t="s">
        <v>1027</v>
      </c>
      <c r="AR489">
        <v>-77.587209000000001</v>
      </c>
      <c r="AS489">
        <v>25</v>
      </c>
      <c r="AT489">
        <v>1475</v>
      </c>
      <c r="AU489" t="s">
        <v>123</v>
      </c>
      <c r="AV489">
        <v>-113</v>
      </c>
      <c r="AW489">
        <v>48</v>
      </c>
      <c r="AX489">
        <v>-448</v>
      </c>
      <c r="AZ489">
        <f t="shared" si="76"/>
        <v>12769</v>
      </c>
      <c r="BA489">
        <f t="shared" si="77"/>
        <v>2304</v>
      </c>
      <c r="BB489" s="1">
        <f t="shared" si="78"/>
        <v>122.7721466783081</v>
      </c>
      <c r="BJ489">
        <v>1404</v>
      </c>
      <c r="BK489">
        <v>1</v>
      </c>
      <c r="BL489" t="str">
        <f t="shared" si="72"/>
        <v xml:space="preserve">N600C   </v>
      </c>
      <c r="BM489">
        <v>2</v>
      </c>
      <c r="BO489">
        <v>0</v>
      </c>
      <c r="BP489">
        <v>0</v>
      </c>
      <c r="BQ489">
        <v>0</v>
      </c>
      <c r="BR489">
        <v>1675</v>
      </c>
      <c r="BS489">
        <v>200</v>
      </c>
      <c r="BT489" t="s">
        <v>128</v>
      </c>
      <c r="BU489">
        <v>0</v>
      </c>
      <c r="BV489">
        <v>0</v>
      </c>
      <c r="BW489">
        <v>0</v>
      </c>
      <c r="BX489">
        <v>1</v>
      </c>
      <c r="CA489">
        <v>0</v>
      </c>
      <c r="CB489">
        <v>0</v>
      </c>
      <c r="CC489">
        <v>0</v>
      </c>
      <c r="CM489" t="str">
        <f>"17:49:05.077"</f>
        <v>17:49:05.077</v>
      </c>
      <c r="CN489">
        <v>76748973</v>
      </c>
      <c r="CQ489">
        <v>0</v>
      </c>
      <c r="CR489">
        <v>2016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3</v>
      </c>
      <c r="DB489">
        <v>2</v>
      </c>
      <c r="DC489">
        <v>0</v>
      </c>
      <c r="DD489">
        <v>2</v>
      </c>
      <c r="DE489">
        <v>0</v>
      </c>
      <c r="DF489">
        <v>7</v>
      </c>
      <c r="DG489">
        <v>7</v>
      </c>
      <c r="DH489" t="s">
        <v>124</v>
      </c>
      <c r="DI489">
        <v>71</v>
      </c>
      <c r="DJ489">
        <v>0</v>
      </c>
      <c r="DK489" t="s">
        <v>134</v>
      </c>
      <c r="DL489" t="s">
        <v>135</v>
      </c>
      <c r="DO489">
        <v>10299191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1</v>
      </c>
      <c r="DW489">
        <v>0</v>
      </c>
      <c r="DX489">
        <v>0</v>
      </c>
      <c r="DY489">
        <v>0</v>
      </c>
      <c r="DZ489">
        <v>0</v>
      </c>
      <c r="EA489">
        <v>0</v>
      </c>
    </row>
    <row r="490" spans="1:131" x14ac:dyDescent="0.35">
      <c r="A490" s="2" t="str">
        <f>"17:49:06.373"</f>
        <v>17:49:06.373</v>
      </c>
      <c r="B490" s="4">
        <f t="shared" si="79"/>
        <v>64146.373</v>
      </c>
      <c r="C490" s="4">
        <f t="shared" si="73"/>
        <v>546.37299999999959</v>
      </c>
      <c r="D490" s="3">
        <f t="shared" si="74"/>
        <v>0.74243487268518515</v>
      </c>
      <c r="E490" s="2">
        <f t="shared" si="75"/>
        <v>0.74243487268518515</v>
      </c>
      <c r="G490" t="str">
        <f t="shared" si="70"/>
        <v>FFDFD7C0</v>
      </c>
      <c r="H490" t="s">
        <v>126</v>
      </c>
      <c r="I490">
        <v>8</v>
      </c>
      <c r="J490">
        <v>1008</v>
      </c>
      <c r="K490" t="s">
        <v>129</v>
      </c>
      <c r="N490" t="s">
        <v>127</v>
      </c>
      <c r="O490">
        <v>0</v>
      </c>
      <c r="P490">
        <v>3</v>
      </c>
      <c r="Q490">
        <v>0</v>
      </c>
      <c r="R490">
        <v>2</v>
      </c>
      <c r="S490">
        <v>1</v>
      </c>
      <c r="T490">
        <v>0</v>
      </c>
      <c r="U490">
        <v>0</v>
      </c>
      <c r="W490" t="str">
        <f>"17:49:06.117"</f>
        <v>17:49:06.117</v>
      </c>
      <c r="X490" t="str">
        <f>"17:49:05.917"</f>
        <v>17:49:05.917</v>
      </c>
      <c r="Y490" t="str">
        <f t="shared" si="71"/>
        <v>A7C771</v>
      </c>
      <c r="Z490">
        <v>0</v>
      </c>
      <c r="AA490">
        <v>0</v>
      </c>
      <c r="AB490">
        <v>2</v>
      </c>
      <c r="AC490">
        <v>0</v>
      </c>
      <c r="AE490">
        <v>0</v>
      </c>
      <c r="AF490">
        <v>8</v>
      </c>
      <c r="AG490">
        <v>3</v>
      </c>
      <c r="AH490">
        <v>0</v>
      </c>
      <c r="AI490">
        <v>9</v>
      </c>
      <c r="AJ490" t="s">
        <v>125</v>
      </c>
      <c r="AK490">
        <v>0</v>
      </c>
      <c r="AL490">
        <v>3</v>
      </c>
      <c r="AM490">
        <v>2</v>
      </c>
      <c r="AN490">
        <v>1</v>
      </c>
      <c r="AO490" t="s">
        <v>1028</v>
      </c>
      <c r="AP490">
        <v>43.120092999999997</v>
      </c>
      <c r="AQ490" t="s">
        <v>1029</v>
      </c>
      <c r="AR490">
        <v>-77.588003</v>
      </c>
      <c r="AS490">
        <v>25</v>
      </c>
      <c r="AT490">
        <v>1450</v>
      </c>
      <c r="AU490" t="s">
        <v>123</v>
      </c>
      <c r="AV490">
        <v>-113</v>
      </c>
      <c r="AW490">
        <v>48</v>
      </c>
      <c r="AX490">
        <v>-512</v>
      </c>
      <c r="AZ490">
        <f t="shared" si="76"/>
        <v>12769</v>
      </c>
      <c r="BA490">
        <f t="shared" si="77"/>
        <v>2304</v>
      </c>
      <c r="BB490" s="1">
        <f t="shared" si="78"/>
        <v>122.7721466783081</v>
      </c>
      <c r="BJ490">
        <v>1404</v>
      </c>
      <c r="BK490">
        <v>1</v>
      </c>
      <c r="BL490" t="str">
        <f t="shared" si="72"/>
        <v xml:space="preserve">N600C   </v>
      </c>
      <c r="BM490">
        <v>2</v>
      </c>
      <c r="BO490">
        <v>0</v>
      </c>
      <c r="BP490">
        <v>0</v>
      </c>
      <c r="BQ490">
        <v>0</v>
      </c>
      <c r="BR490">
        <v>1675</v>
      </c>
      <c r="BS490">
        <v>225</v>
      </c>
      <c r="BT490" t="s">
        <v>128</v>
      </c>
      <c r="BU490">
        <v>0</v>
      </c>
      <c r="BV490">
        <v>0</v>
      </c>
      <c r="BW490">
        <v>0</v>
      </c>
      <c r="BX490">
        <v>1</v>
      </c>
      <c r="CA490">
        <v>0</v>
      </c>
      <c r="CB490">
        <v>0</v>
      </c>
      <c r="CC490">
        <v>0</v>
      </c>
      <c r="CM490" t="str">
        <f>"17:49:06.125"</f>
        <v>17:49:06.125</v>
      </c>
      <c r="CN490">
        <v>124937388</v>
      </c>
      <c r="CQ490">
        <v>0</v>
      </c>
      <c r="CR490">
        <v>2016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3</v>
      </c>
      <c r="DB490">
        <v>2</v>
      </c>
      <c r="DC490">
        <v>0</v>
      </c>
      <c r="DD490">
        <v>2</v>
      </c>
      <c r="DE490">
        <v>0</v>
      </c>
      <c r="DF490">
        <v>7</v>
      </c>
      <c r="DG490">
        <v>7</v>
      </c>
      <c r="DH490" t="s">
        <v>124</v>
      </c>
      <c r="DI490">
        <v>71</v>
      </c>
      <c r="DJ490">
        <v>1</v>
      </c>
      <c r="DK490" t="s">
        <v>134</v>
      </c>
      <c r="DL490" t="s">
        <v>135</v>
      </c>
      <c r="DO490">
        <v>11670467</v>
      </c>
      <c r="DQ490">
        <v>0</v>
      </c>
      <c r="DR490">
        <v>0</v>
      </c>
      <c r="DS490">
        <v>1</v>
      </c>
      <c r="DT490">
        <v>0</v>
      </c>
      <c r="DU490">
        <v>0</v>
      </c>
      <c r="DV490">
        <v>1</v>
      </c>
      <c r="DW490">
        <v>0</v>
      </c>
      <c r="DX490">
        <v>0</v>
      </c>
      <c r="DY490">
        <v>0</v>
      </c>
      <c r="DZ490">
        <v>0</v>
      </c>
      <c r="EA490">
        <v>0</v>
      </c>
    </row>
    <row r="491" spans="1:131" x14ac:dyDescent="0.35">
      <c r="A491" s="2" t="str">
        <f>"17:49:07.451"</f>
        <v>17:49:07.451</v>
      </c>
      <c r="B491" s="4">
        <f t="shared" si="79"/>
        <v>64147.451000000001</v>
      </c>
      <c r="C491" s="4">
        <f t="shared" si="73"/>
        <v>547.45100000000093</v>
      </c>
      <c r="D491" s="3">
        <f t="shared" si="74"/>
        <v>0.74244734953703706</v>
      </c>
      <c r="E491" s="2">
        <f t="shared" si="75"/>
        <v>0.74244734953703706</v>
      </c>
      <c r="G491" t="str">
        <f t="shared" si="70"/>
        <v>FFDFD7C0</v>
      </c>
      <c r="H491" t="s">
        <v>126</v>
      </c>
      <c r="I491">
        <v>8</v>
      </c>
      <c r="J491">
        <v>1008</v>
      </c>
      <c r="K491" t="s">
        <v>129</v>
      </c>
      <c r="N491" t="s">
        <v>127</v>
      </c>
      <c r="O491">
        <v>0</v>
      </c>
      <c r="P491">
        <v>3</v>
      </c>
      <c r="Q491">
        <v>0</v>
      </c>
      <c r="R491">
        <v>2</v>
      </c>
      <c r="S491">
        <v>1</v>
      </c>
      <c r="T491">
        <v>0</v>
      </c>
      <c r="U491">
        <v>0</v>
      </c>
      <c r="W491" t="str">
        <f>"17:49:07.164"</f>
        <v>17:49:07.164</v>
      </c>
      <c r="X491" t="str">
        <f>"17:49:06.964"</f>
        <v>17:49:06.964</v>
      </c>
      <c r="Y491" t="str">
        <f t="shared" si="71"/>
        <v>A7C771</v>
      </c>
      <c r="Z491">
        <v>0</v>
      </c>
      <c r="AA491">
        <v>0</v>
      </c>
      <c r="AB491">
        <v>2</v>
      </c>
      <c r="AC491">
        <v>0</v>
      </c>
      <c r="AE491">
        <v>0</v>
      </c>
      <c r="AF491">
        <v>8</v>
      </c>
      <c r="AG491">
        <v>3</v>
      </c>
      <c r="AH491">
        <v>0</v>
      </c>
      <c r="AI491">
        <v>9</v>
      </c>
      <c r="AJ491" t="s">
        <v>125</v>
      </c>
      <c r="AK491">
        <v>0</v>
      </c>
      <c r="AL491">
        <v>3</v>
      </c>
      <c r="AM491">
        <v>2</v>
      </c>
      <c r="AN491">
        <v>1</v>
      </c>
      <c r="AO491" t="s">
        <v>1030</v>
      </c>
      <c r="AP491">
        <v>43.120328999999998</v>
      </c>
      <c r="AQ491" t="s">
        <v>1031</v>
      </c>
      <c r="AR491">
        <v>-77.588711000000004</v>
      </c>
      <c r="AS491">
        <v>25</v>
      </c>
      <c r="AT491">
        <v>1450</v>
      </c>
      <c r="AU491" t="s">
        <v>123</v>
      </c>
      <c r="AV491">
        <v>-113</v>
      </c>
      <c r="AW491">
        <v>47</v>
      </c>
      <c r="AX491">
        <v>-512</v>
      </c>
      <c r="AZ491">
        <f t="shared" si="76"/>
        <v>12769</v>
      </c>
      <c r="BA491">
        <f t="shared" si="77"/>
        <v>2209</v>
      </c>
      <c r="BB491" s="1">
        <f t="shared" si="78"/>
        <v>122.38463955905577</v>
      </c>
      <c r="BJ491">
        <v>1404</v>
      </c>
      <c r="BK491">
        <v>1</v>
      </c>
      <c r="BL491" t="str">
        <f t="shared" si="72"/>
        <v xml:space="preserve">N600C   </v>
      </c>
      <c r="BM491">
        <v>2</v>
      </c>
      <c r="BO491">
        <v>0</v>
      </c>
      <c r="BP491">
        <v>0</v>
      </c>
      <c r="BQ491">
        <v>0</v>
      </c>
      <c r="BR491">
        <v>1650</v>
      </c>
      <c r="BS491">
        <v>200</v>
      </c>
      <c r="BT491" t="s">
        <v>128</v>
      </c>
      <c r="BU491">
        <v>0</v>
      </c>
      <c r="BV491">
        <v>0</v>
      </c>
      <c r="BW491">
        <v>0</v>
      </c>
      <c r="BX491">
        <v>1</v>
      </c>
      <c r="CA491">
        <v>0</v>
      </c>
      <c r="CB491">
        <v>0</v>
      </c>
      <c r="CC491">
        <v>0</v>
      </c>
      <c r="CM491" t="str">
        <f>"17:49:07.165"</f>
        <v>17:49:07.165</v>
      </c>
      <c r="CN491">
        <v>165124830</v>
      </c>
      <c r="CQ491">
        <v>0</v>
      </c>
      <c r="CR491">
        <v>2016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3</v>
      </c>
      <c r="DB491">
        <v>2</v>
      </c>
      <c r="DC491">
        <v>0</v>
      </c>
      <c r="DD491">
        <v>2</v>
      </c>
      <c r="DE491">
        <v>0</v>
      </c>
      <c r="DF491">
        <v>7</v>
      </c>
      <c r="DG491">
        <v>7</v>
      </c>
      <c r="DH491" t="s">
        <v>124</v>
      </c>
      <c r="DI491">
        <v>71</v>
      </c>
      <c r="DJ491">
        <v>0</v>
      </c>
      <c r="DK491" t="s">
        <v>134</v>
      </c>
      <c r="DL491" t="s">
        <v>135</v>
      </c>
      <c r="DO491">
        <v>10300678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1</v>
      </c>
      <c r="DW491">
        <v>0</v>
      </c>
      <c r="DX491">
        <v>0</v>
      </c>
      <c r="DY491">
        <v>0</v>
      </c>
      <c r="DZ491">
        <v>0</v>
      </c>
      <c r="EA491">
        <v>0</v>
      </c>
    </row>
    <row r="492" spans="1:131" x14ac:dyDescent="0.35">
      <c r="A492" s="2" t="str">
        <f>"17:49:08.420"</f>
        <v>17:49:08.420</v>
      </c>
      <c r="B492" s="4">
        <f t="shared" si="79"/>
        <v>64148.42</v>
      </c>
      <c r="C492" s="4">
        <f t="shared" si="73"/>
        <v>548.41999999999825</v>
      </c>
      <c r="D492" s="3">
        <f t="shared" si="74"/>
        <v>0.74245856481481476</v>
      </c>
      <c r="E492" s="2">
        <f t="shared" si="75"/>
        <v>0.74245856481481476</v>
      </c>
      <c r="G492" t="str">
        <f t="shared" si="70"/>
        <v>FFDFD7C0</v>
      </c>
      <c r="H492" t="s">
        <v>126</v>
      </c>
      <c r="I492">
        <v>8</v>
      </c>
      <c r="J492">
        <v>1008</v>
      </c>
      <c r="K492" t="s">
        <v>129</v>
      </c>
      <c r="N492" t="s">
        <v>127</v>
      </c>
      <c r="O492">
        <v>0</v>
      </c>
      <c r="P492">
        <v>3</v>
      </c>
      <c r="Q492">
        <v>0</v>
      </c>
      <c r="R492">
        <v>2</v>
      </c>
      <c r="S492">
        <v>1</v>
      </c>
      <c r="T492">
        <v>0</v>
      </c>
      <c r="U492">
        <v>0</v>
      </c>
      <c r="W492" t="str">
        <f>"17:49:08.203"</f>
        <v>17:49:08.203</v>
      </c>
      <c r="X492" t="str">
        <f>"17:49:07.803"</f>
        <v>17:49:07.803</v>
      </c>
      <c r="Y492" t="str">
        <f t="shared" si="71"/>
        <v>A7C771</v>
      </c>
      <c r="Z492">
        <v>0</v>
      </c>
      <c r="AA492">
        <v>0</v>
      </c>
      <c r="AB492">
        <v>2</v>
      </c>
      <c r="AC492">
        <v>0</v>
      </c>
      <c r="AE492">
        <v>0</v>
      </c>
      <c r="AF492">
        <v>8</v>
      </c>
      <c r="AG492">
        <v>3</v>
      </c>
      <c r="AH492">
        <v>0</v>
      </c>
      <c r="AI492">
        <v>9</v>
      </c>
      <c r="AJ492" t="s">
        <v>125</v>
      </c>
      <c r="AK492">
        <v>0</v>
      </c>
      <c r="AL492">
        <v>3</v>
      </c>
      <c r="AM492">
        <v>2</v>
      </c>
      <c r="AN492">
        <v>1</v>
      </c>
      <c r="AO492" t="s">
        <v>1032</v>
      </c>
      <c r="AP492">
        <v>43.120522000000001</v>
      </c>
      <c r="AQ492" t="s">
        <v>1033</v>
      </c>
      <c r="AR492">
        <v>-77.589419000000007</v>
      </c>
      <c r="AS492">
        <v>25</v>
      </c>
      <c r="AT492">
        <v>1450</v>
      </c>
      <c r="AU492" t="s">
        <v>123</v>
      </c>
      <c r="AV492">
        <v>-112</v>
      </c>
      <c r="AW492">
        <v>47</v>
      </c>
      <c r="AX492">
        <v>-576</v>
      </c>
      <c r="AZ492">
        <f t="shared" si="76"/>
        <v>12544</v>
      </c>
      <c r="BA492">
        <f t="shared" si="77"/>
        <v>2209</v>
      </c>
      <c r="BB492" s="1">
        <f t="shared" si="78"/>
        <v>121.46192819151193</v>
      </c>
      <c r="BJ492">
        <v>1404</v>
      </c>
      <c r="BK492">
        <v>1</v>
      </c>
      <c r="BL492" t="str">
        <f t="shared" si="72"/>
        <v xml:space="preserve">N600C   </v>
      </c>
      <c r="BM492">
        <v>2</v>
      </c>
      <c r="BO492">
        <v>0</v>
      </c>
      <c r="BP492">
        <v>0</v>
      </c>
      <c r="BQ492">
        <v>0</v>
      </c>
      <c r="BR492">
        <v>1650</v>
      </c>
      <c r="BS492">
        <v>200</v>
      </c>
      <c r="BT492" t="s">
        <v>128</v>
      </c>
      <c r="BU492">
        <v>0</v>
      </c>
      <c r="BV492">
        <v>0</v>
      </c>
      <c r="BW492">
        <v>0</v>
      </c>
      <c r="BX492">
        <v>1</v>
      </c>
      <c r="CA492">
        <v>0</v>
      </c>
      <c r="CB492">
        <v>0</v>
      </c>
      <c r="CC492">
        <v>0</v>
      </c>
      <c r="CM492" t="str">
        <f>"17:49:08.205"</f>
        <v>17:49:08.205</v>
      </c>
      <c r="CN492">
        <v>205311846</v>
      </c>
      <c r="CQ492">
        <v>0</v>
      </c>
      <c r="CR492">
        <v>2016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3</v>
      </c>
      <c r="DB492">
        <v>2</v>
      </c>
      <c r="DC492">
        <v>0</v>
      </c>
      <c r="DD492">
        <v>2</v>
      </c>
      <c r="DE492">
        <v>0</v>
      </c>
      <c r="DF492">
        <v>7</v>
      </c>
      <c r="DG492">
        <v>7</v>
      </c>
      <c r="DH492" t="s">
        <v>124</v>
      </c>
      <c r="DI492">
        <v>71</v>
      </c>
      <c r="DJ492">
        <v>0</v>
      </c>
      <c r="DK492" t="s">
        <v>134</v>
      </c>
      <c r="DL492" t="s">
        <v>135</v>
      </c>
      <c r="DO492">
        <v>10301415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1</v>
      </c>
      <c r="DW492">
        <v>0</v>
      </c>
      <c r="DX492">
        <v>0</v>
      </c>
      <c r="DY492">
        <v>0</v>
      </c>
      <c r="DZ492">
        <v>0</v>
      </c>
      <c r="EA492">
        <v>0</v>
      </c>
    </row>
    <row r="493" spans="1:131" x14ac:dyDescent="0.35">
      <c r="A493" s="2" t="str">
        <f>"17:49:09.600"</f>
        <v>17:49:09.600</v>
      </c>
      <c r="B493" s="4">
        <f t="shared" si="79"/>
        <v>64149.599999999999</v>
      </c>
      <c r="C493" s="4">
        <f t="shared" si="73"/>
        <v>549.59999999999854</v>
      </c>
      <c r="D493" s="3">
        <f t="shared" si="74"/>
        <v>0.7424722222222222</v>
      </c>
      <c r="E493" s="2">
        <f t="shared" si="75"/>
        <v>0.7424722222222222</v>
      </c>
      <c r="G493" t="str">
        <f t="shared" si="70"/>
        <v>FFDFD7C0</v>
      </c>
      <c r="H493" t="s">
        <v>126</v>
      </c>
      <c r="I493">
        <v>8</v>
      </c>
      <c r="J493">
        <v>1008</v>
      </c>
      <c r="K493" t="s">
        <v>129</v>
      </c>
      <c r="N493" t="s">
        <v>127</v>
      </c>
      <c r="O493">
        <v>0</v>
      </c>
      <c r="P493">
        <v>3</v>
      </c>
      <c r="Q493">
        <v>0</v>
      </c>
      <c r="R493">
        <v>2</v>
      </c>
      <c r="S493">
        <v>1</v>
      </c>
      <c r="T493">
        <v>0</v>
      </c>
      <c r="U493">
        <v>0</v>
      </c>
      <c r="W493" t="str">
        <f>"17:49:09.313"</f>
        <v>17:49:09.313</v>
      </c>
      <c r="X493" t="str">
        <f>"17:49:09.213"</f>
        <v>17:49:09.213</v>
      </c>
      <c r="Y493" t="str">
        <f t="shared" si="71"/>
        <v>A7C771</v>
      </c>
      <c r="Z493">
        <v>0</v>
      </c>
      <c r="AA493">
        <v>0</v>
      </c>
      <c r="AB493">
        <v>2</v>
      </c>
      <c r="AC493">
        <v>0</v>
      </c>
      <c r="AE493">
        <v>0</v>
      </c>
      <c r="AF493">
        <v>8</v>
      </c>
      <c r="AG493">
        <v>3</v>
      </c>
      <c r="AH493">
        <v>0</v>
      </c>
      <c r="AI493">
        <v>9</v>
      </c>
      <c r="AJ493" t="s">
        <v>125</v>
      </c>
      <c r="AK493">
        <v>0</v>
      </c>
      <c r="AL493">
        <v>3</v>
      </c>
      <c r="AM493">
        <v>2</v>
      </c>
      <c r="AN493">
        <v>1</v>
      </c>
      <c r="AO493" t="s">
        <v>1034</v>
      </c>
      <c r="AP493">
        <v>43.120780000000003</v>
      </c>
      <c r="AQ493" t="s">
        <v>1035</v>
      </c>
      <c r="AR493">
        <v>-77.590147999999999</v>
      </c>
      <c r="AS493">
        <v>25</v>
      </c>
      <c r="AT493">
        <v>1425</v>
      </c>
      <c r="AU493" t="s">
        <v>123</v>
      </c>
      <c r="AV493">
        <v>-112</v>
      </c>
      <c r="AW493">
        <v>47</v>
      </c>
      <c r="AX493">
        <v>-576</v>
      </c>
      <c r="AZ493">
        <f t="shared" si="76"/>
        <v>12544</v>
      </c>
      <c r="BA493">
        <f t="shared" si="77"/>
        <v>2209</v>
      </c>
      <c r="BB493" s="1">
        <f t="shared" si="78"/>
        <v>121.46192819151193</v>
      </c>
      <c r="BJ493">
        <v>1404</v>
      </c>
      <c r="BK493">
        <v>1</v>
      </c>
      <c r="BL493" t="str">
        <f t="shared" si="72"/>
        <v xml:space="preserve">N600C   </v>
      </c>
      <c r="BM493">
        <v>2</v>
      </c>
      <c r="BO493">
        <v>0</v>
      </c>
      <c r="BP493">
        <v>0</v>
      </c>
      <c r="BQ493">
        <v>0</v>
      </c>
      <c r="BR493">
        <v>1625</v>
      </c>
      <c r="BS493">
        <v>200</v>
      </c>
      <c r="BT493" t="s">
        <v>128</v>
      </c>
      <c r="BU493">
        <v>0</v>
      </c>
      <c r="BV493">
        <v>0</v>
      </c>
      <c r="BW493">
        <v>0</v>
      </c>
      <c r="BX493">
        <v>1</v>
      </c>
      <c r="CA493">
        <v>0</v>
      </c>
      <c r="CB493">
        <v>0</v>
      </c>
      <c r="CC493">
        <v>0</v>
      </c>
      <c r="CM493" t="str">
        <f>"17:49:09.318"</f>
        <v>17:49:09.318</v>
      </c>
      <c r="CN493">
        <v>317517936</v>
      </c>
      <c r="CQ493">
        <v>0</v>
      </c>
      <c r="CR493">
        <v>2016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3</v>
      </c>
      <c r="DB493">
        <v>2</v>
      </c>
      <c r="DC493">
        <v>0</v>
      </c>
      <c r="DD493">
        <v>2</v>
      </c>
      <c r="DE493">
        <v>0</v>
      </c>
      <c r="DF493">
        <v>7</v>
      </c>
      <c r="DG493">
        <v>7</v>
      </c>
      <c r="DH493" t="s">
        <v>124</v>
      </c>
      <c r="DI493">
        <v>71</v>
      </c>
      <c r="DJ493">
        <v>1</v>
      </c>
      <c r="DK493" t="s">
        <v>134</v>
      </c>
      <c r="DL493" t="s">
        <v>135</v>
      </c>
      <c r="DO493">
        <v>11673076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1</v>
      </c>
      <c r="DW493">
        <v>0</v>
      </c>
      <c r="DX493">
        <v>0</v>
      </c>
      <c r="DY493">
        <v>0</v>
      </c>
      <c r="DZ493">
        <v>0</v>
      </c>
      <c r="EA493">
        <v>0</v>
      </c>
    </row>
    <row r="494" spans="1:131" x14ac:dyDescent="0.35">
      <c r="A494" s="2" t="str">
        <f>"17:49:10.461"</f>
        <v>17:49:10.461</v>
      </c>
      <c r="B494" s="4">
        <f t="shared" si="79"/>
        <v>64150.461000000003</v>
      </c>
      <c r="C494" s="4">
        <f t="shared" si="73"/>
        <v>550.46100000000297</v>
      </c>
      <c r="D494" s="3">
        <f t="shared" si="74"/>
        <v>0.74248218750000006</v>
      </c>
      <c r="E494" s="2">
        <f t="shared" si="75"/>
        <v>0.74248218750000006</v>
      </c>
      <c r="G494" t="str">
        <f t="shared" si="70"/>
        <v>FFDFD7C0</v>
      </c>
      <c r="H494" t="s">
        <v>126</v>
      </c>
      <c r="I494">
        <v>8</v>
      </c>
      <c r="J494">
        <v>1008</v>
      </c>
      <c r="K494" t="s">
        <v>129</v>
      </c>
      <c r="N494" t="s">
        <v>127</v>
      </c>
      <c r="O494">
        <v>0</v>
      </c>
      <c r="P494">
        <v>3</v>
      </c>
      <c r="Q494">
        <v>0</v>
      </c>
      <c r="R494">
        <v>2</v>
      </c>
      <c r="S494">
        <v>1</v>
      </c>
      <c r="T494">
        <v>0</v>
      </c>
      <c r="U494">
        <v>0</v>
      </c>
      <c r="W494" t="str">
        <f>"17:49:10.266"</f>
        <v>17:49:10.266</v>
      </c>
      <c r="X494" t="str">
        <f>"17:49:09.866"</f>
        <v>17:49:09.866</v>
      </c>
      <c r="Y494" t="str">
        <f t="shared" si="71"/>
        <v>A7C771</v>
      </c>
      <c r="Z494">
        <v>0</v>
      </c>
      <c r="AA494">
        <v>0</v>
      </c>
      <c r="AB494">
        <v>2</v>
      </c>
      <c r="AC494">
        <v>0</v>
      </c>
      <c r="AE494">
        <v>0</v>
      </c>
      <c r="AF494">
        <v>8</v>
      </c>
      <c r="AG494">
        <v>3</v>
      </c>
      <c r="AH494">
        <v>0</v>
      </c>
      <c r="AI494">
        <v>9</v>
      </c>
      <c r="AJ494" t="s">
        <v>125</v>
      </c>
      <c r="AK494">
        <v>0</v>
      </c>
      <c r="AL494">
        <v>3</v>
      </c>
      <c r="AM494">
        <v>2</v>
      </c>
      <c r="AN494">
        <v>1</v>
      </c>
      <c r="AO494" t="s">
        <v>1036</v>
      </c>
      <c r="AP494">
        <v>43.121015999999997</v>
      </c>
      <c r="AQ494" t="s">
        <v>582</v>
      </c>
      <c r="AR494">
        <v>-77.590878000000004</v>
      </c>
      <c r="AS494">
        <v>25</v>
      </c>
      <c r="AT494">
        <v>1425</v>
      </c>
      <c r="AU494" t="s">
        <v>123</v>
      </c>
      <c r="AV494">
        <v>-112</v>
      </c>
      <c r="AW494">
        <v>47</v>
      </c>
      <c r="AX494">
        <v>-576</v>
      </c>
      <c r="AZ494">
        <f t="shared" si="76"/>
        <v>12544</v>
      </c>
      <c r="BA494">
        <f t="shared" si="77"/>
        <v>2209</v>
      </c>
      <c r="BB494" s="1">
        <f t="shared" si="78"/>
        <v>121.46192819151193</v>
      </c>
      <c r="BJ494">
        <v>1404</v>
      </c>
      <c r="BK494">
        <v>1</v>
      </c>
      <c r="BL494" t="str">
        <f t="shared" si="72"/>
        <v xml:space="preserve">N600C   </v>
      </c>
      <c r="BM494">
        <v>2</v>
      </c>
      <c r="BO494">
        <v>0</v>
      </c>
      <c r="BP494">
        <v>0</v>
      </c>
      <c r="BQ494">
        <v>0</v>
      </c>
      <c r="BR494">
        <v>1625</v>
      </c>
      <c r="BS494">
        <v>200</v>
      </c>
      <c r="BT494" t="s">
        <v>128</v>
      </c>
      <c r="BU494">
        <v>0</v>
      </c>
      <c r="BV494">
        <v>0</v>
      </c>
      <c r="BW494">
        <v>0</v>
      </c>
      <c r="BX494">
        <v>1</v>
      </c>
      <c r="CA494">
        <v>0</v>
      </c>
      <c r="CB494">
        <v>0</v>
      </c>
      <c r="CC494">
        <v>0</v>
      </c>
      <c r="CM494" t="str">
        <f>"17:49:10.270"</f>
        <v>17:49:10.270</v>
      </c>
      <c r="CN494">
        <v>269692658</v>
      </c>
      <c r="CQ494">
        <v>0</v>
      </c>
      <c r="CR494">
        <v>2016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3</v>
      </c>
      <c r="DB494">
        <v>2</v>
      </c>
      <c r="DC494">
        <v>0</v>
      </c>
      <c r="DD494">
        <v>2</v>
      </c>
      <c r="DE494">
        <v>0</v>
      </c>
      <c r="DF494">
        <v>7</v>
      </c>
      <c r="DG494">
        <v>7</v>
      </c>
      <c r="DH494" t="s">
        <v>124</v>
      </c>
      <c r="DI494">
        <v>71</v>
      </c>
      <c r="DJ494">
        <v>0</v>
      </c>
      <c r="DK494" t="s">
        <v>134</v>
      </c>
      <c r="DL494" t="s">
        <v>135</v>
      </c>
      <c r="DO494">
        <v>10302931</v>
      </c>
      <c r="DQ494">
        <v>0</v>
      </c>
      <c r="DR494">
        <v>0</v>
      </c>
      <c r="DS494">
        <v>1</v>
      </c>
      <c r="DT494">
        <v>0</v>
      </c>
      <c r="DU494">
        <v>0</v>
      </c>
      <c r="DV494">
        <v>1</v>
      </c>
      <c r="DW494">
        <v>0</v>
      </c>
      <c r="DX494">
        <v>0</v>
      </c>
      <c r="DY494">
        <v>0</v>
      </c>
      <c r="DZ494">
        <v>0</v>
      </c>
      <c r="EA494">
        <v>0</v>
      </c>
    </row>
    <row r="495" spans="1:131" x14ac:dyDescent="0.35">
      <c r="A495" s="2" t="str">
        <f>"17:49:11.399"</f>
        <v>17:49:11.399</v>
      </c>
      <c r="B495" s="4">
        <f t="shared" si="79"/>
        <v>64151.398999999998</v>
      </c>
      <c r="C495" s="4">
        <f t="shared" si="73"/>
        <v>551.39899999999761</v>
      </c>
      <c r="D495" s="3">
        <f t="shared" si="74"/>
        <v>0.74249304398148142</v>
      </c>
      <c r="E495" s="2">
        <f t="shared" si="75"/>
        <v>0.74249304398148142</v>
      </c>
      <c r="G495" t="str">
        <f t="shared" si="70"/>
        <v>FFDFD7C0</v>
      </c>
      <c r="H495" t="s">
        <v>126</v>
      </c>
      <c r="I495">
        <v>8</v>
      </c>
      <c r="J495">
        <v>1008</v>
      </c>
      <c r="K495" t="s">
        <v>129</v>
      </c>
      <c r="N495" t="s">
        <v>127</v>
      </c>
      <c r="O495">
        <v>0</v>
      </c>
      <c r="P495">
        <v>3</v>
      </c>
      <c r="Q495">
        <v>0</v>
      </c>
      <c r="R495">
        <v>2</v>
      </c>
      <c r="S495">
        <v>1</v>
      </c>
      <c r="T495">
        <v>0</v>
      </c>
      <c r="U495">
        <v>0</v>
      </c>
      <c r="W495" t="str">
        <f>"17:49:11.148"</f>
        <v>17:49:11.148</v>
      </c>
      <c r="X495" t="str">
        <f>"17:49:10.948"</f>
        <v>17:49:10.948</v>
      </c>
      <c r="Y495" t="str">
        <f t="shared" si="71"/>
        <v>A7C771</v>
      </c>
      <c r="Z495">
        <v>0</v>
      </c>
      <c r="AA495">
        <v>0</v>
      </c>
      <c r="AB495">
        <v>2</v>
      </c>
      <c r="AC495">
        <v>0</v>
      </c>
      <c r="AE495">
        <v>0</v>
      </c>
      <c r="AF495">
        <v>8</v>
      </c>
      <c r="AG495">
        <v>3</v>
      </c>
      <c r="AH495">
        <v>0</v>
      </c>
      <c r="AI495">
        <v>9</v>
      </c>
      <c r="AJ495" t="s">
        <v>125</v>
      </c>
      <c r="AK495">
        <v>0</v>
      </c>
      <c r="AL495">
        <v>3</v>
      </c>
      <c r="AM495">
        <v>2</v>
      </c>
      <c r="AN495">
        <v>1</v>
      </c>
      <c r="AO495" t="s">
        <v>1037</v>
      </c>
      <c r="AP495">
        <v>43.121209</v>
      </c>
      <c r="AQ495" t="s">
        <v>1038</v>
      </c>
      <c r="AR495">
        <v>-77.591521999999998</v>
      </c>
      <c r="AS495">
        <v>25</v>
      </c>
      <c r="AT495">
        <v>1400</v>
      </c>
      <c r="AU495" t="s">
        <v>123</v>
      </c>
      <c r="AV495">
        <v>-112</v>
      </c>
      <c r="AW495">
        <v>47</v>
      </c>
      <c r="AX495">
        <v>-768</v>
      </c>
      <c r="AZ495">
        <f t="shared" si="76"/>
        <v>12544</v>
      </c>
      <c r="BA495">
        <f t="shared" si="77"/>
        <v>2209</v>
      </c>
      <c r="BB495" s="1">
        <f t="shared" si="78"/>
        <v>121.46192819151193</v>
      </c>
      <c r="BJ495">
        <v>1404</v>
      </c>
      <c r="BK495">
        <v>1</v>
      </c>
      <c r="BL495" t="str">
        <f t="shared" si="72"/>
        <v xml:space="preserve">N600C   </v>
      </c>
      <c r="BM495">
        <v>2</v>
      </c>
      <c r="BO495">
        <v>0</v>
      </c>
      <c r="BP495">
        <v>0</v>
      </c>
      <c r="BQ495">
        <v>0</v>
      </c>
      <c r="BR495">
        <v>1600</v>
      </c>
      <c r="BS495">
        <v>200</v>
      </c>
      <c r="BT495" t="s">
        <v>128</v>
      </c>
      <c r="BU495">
        <v>0</v>
      </c>
      <c r="BV495">
        <v>0</v>
      </c>
      <c r="BW495">
        <v>0</v>
      </c>
      <c r="BX495">
        <v>1</v>
      </c>
      <c r="CA495">
        <v>0</v>
      </c>
      <c r="CB495">
        <v>0</v>
      </c>
      <c r="CC495">
        <v>0</v>
      </c>
      <c r="CM495" t="str">
        <f>"17:49:11.150"</f>
        <v>17:49:11.150</v>
      </c>
      <c r="CN495">
        <v>149850452</v>
      </c>
      <c r="CQ495">
        <v>0</v>
      </c>
      <c r="CR495">
        <v>2016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3</v>
      </c>
      <c r="DB495">
        <v>2</v>
      </c>
      <c r="DC495">
        <v>0</v>
      </c>
      <c r="DD495">
        <v>2</v>
      </c>
      <c r="DE495">
        <v>0</v>
      </c>
      <c r="DF495">
        <v>7</v>
      </c>
      <c r="DG495">
        <v>7</v>
      </c>
      <c r="DH495" t="s">
        <v>124</v>
      </c>
      <c r="DI495">
        <v>71</v>
      </c>
      <c r="DJ495">
        <v>0</v>
      </c>
      <c r="DK495" t="s">
        <v>134</v>
      </c>
      <c r="DL495" t="s">
        <v>135</v>
      </c>
      <c r="DO495">
        <v>10303565</v>
      </c>
      <c r="DQ495">
        <v>0</v>
      </c>
      <c r="DR495">
        <v>0</v>
      </c>
      <c r="DS495">
        <v>1</v>
      </c>
      <c r="DT495">
        <v>0</v>
      </c>
      <c r="DU495">
        <v>0</v>
      </c>
      <c r="DV495">
        <v>1</v>
      </c>
      <c r="DW495">
        <v>0</v>
      </c>
      <c r="DX495">
        <v>0</v>
      </c>
      <c r="DY495">
        <v>0</v>
      </c>
      <c r="DZ495">
        <v>0</v>
      </c>
      <c r="EA495">
        <v>0</v>
      </c>
    </row>
    <row r="496" spans="1:131" x14ac:dyDescent="0.35">
      <c r="A496" s="2" t="str">
        <f>"17:49:12.414"</f>
        <v>17:49:12.414</v>
      </c>
      <c r="B496" s="4">
        <f t="shared" si="79"/>
        <v>64152.413999999997</v>
      </c>
      <c r="C496" s="4">
        <f t="shared" si="73"/>
        <v>552.41399999999703</v>
      </c>
      <c r="D496" s="3">
        <f t="shared" si="74"/>
        <v>0.74250479166666661</v>
      </c>
      <c r="E496" s="2">
        <f t="shared" si="75"/>
        <v>0.74250479166666661</v>
      </c>
      <c r="G496" t="str">
        <f t="shared" si="70"/>
        <v>FFDFD7C0</v>
      </c>
      <c r="H496" t="s">
        <v>126</v>
      </c>
      <c r="I496">
        <v>8</v>
      </c>
      <c r="J496">
        <v>1008</v>
      </c>
      <c r="K496" t="s">
        <v>129</v>
      </c>
      <c r="N496" t="s">
        <v>127</v>
      </c>
      <c r="O496">
        <v>0</v>
      </c>
      <c r="P496">
        <v>3</v>
      </c>
      <c r="Q496">
        <v>0</v>
      </c>
      <c r="R496">
        <v>2</v>
      </c>
      <c r="S496">
        <v>1</v>
      </c>
      <c r="T496">
        <v>0</v>
      </c>
      <c r="U496">
        <v>0</v>
      </c>
      <c r="W496" t="str">
        <f>"17:49:12.094"</f>
        <v>17:49:12.094</v>
      </c>
      <c r="X496" t="str">
        <f>"17:49:11.894"</f>
        <v>17:49:11.894</v>
      </c>
      <c r="Y496" t="str">
        <f t="shared" si="71"/>
        <v>A7C771</v>
      </c>
      <c r="Z496">
        <v>0</v>
      </c>
      <c r="AA496">
        <v>0</v>
      </c>
      <c r="AB496">
        <v>2</v>
      </c>
      <c r="AC496">
        <v>0</v>
      </c>
      <c r="AE496">
        <v>0</v>
      </c>
      <c r="AF496">
        <v>8</v>
      </c>
      <c r="AG496">
        <v>3</v>
      </c>
      <c r="AH496">
        <v>0</v>
      </c>
      <c r="AI496">
        <v>9</v>
      </c>
      <c r="AJ496" t="s">
        <v>125</v>
      </c>
      <c r="AK496">
        <v>0</v>
      </c>
      <c r="AL496">
        <v>3</v>
      </c>
      <c r="AM496">
        <v>2</v>
      </c>
      <c r="AN496">
        <v>1</v>
      </c>
      <c r="AO496" t="s">
        <v>1039</v>
      </c>
      <c r="AP496">
        <v>43.121381</v>
      </c>
      <c r="AQ496" t="s">
        <v>1040</v>
      </c>
      <c r="AR496">
        <v>-77.592186999999996</v>
      </c>
      <c r="AS496">
        <v>25</v>
      </c>
      <c r="AT496">
        <v>1375</v>
      </c>
      <c r="AU496" t="s">
        <v>123</v>
      </c>
      <c r="AV496">
        <v>-112</v>
      </c>
      <c r="AW496">
        <v>46</v>
      </c>
      <c r="AX496">
        <v>-1024</v>
      </c>
      <c r="AZ496">
        <f t="shared" si="76"/>
        <v>12544</v>
      </c>
      <c r="BA496">
        <f t="shared" si="77"/>
        <v>2116</v>
      </c>
      <c r="BB496" s="1">
        <f t="shared" si="78"/>
        <v>121.07848694132248</v>
      </c>
      <c r="BJ496">
        <v>1404</v>
      </c>
      <c r="BK496">
        <v>1</v>
      </c>
      <c r="BL496" t="str">
        <f t="shared" si="72"/>
        <v xml:space="preserve">N600C   </v>
      </c>
      <c r="BM496">
        <v>2</v>
      </c>
      <c r="BO496">
        <v>0</v>
      </c>
      <c r="BP496">
        <v>0</v>
      </c>
      <c r="BQ496">
        <v>0</v>
      </c>
      <c r="BR496">
        <v>1600</v>
      </c>
      <c r="BS496">
        <v>225</v>
      </c>
      <c r="BT496" t="s">
        <v>128</v>
      </c>
      <c r="BU496">
        <v>0</v>
      </c>
      <c r="BV496">
        <v>0</v>
      </c>
      <c r="BW496">
        <v>0</v>
      </c>
      <c r="BX496">
        <v>1</v>
      </c>
      <c r="CA496">
        <v>0</v>
      </c>
      <c r="CB496">
        <v>0</v>
      </c>
      <c r="CC496">
        <v>0</v>
      </c>
      <c r="CM496" t="str">
        <f>"17:49:12.094"</f>
        <v>17:49:12.094</v>
      </c>
      <c r="CN496">
        <v>94027478</v>
      </c>
      <c r="CQ496">
        <v>0</v>
      </c>
      <c r="CR496">
        <v>2016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3</v>
      </c>
      <c r="DB496">
        <v>2</v>
      </c>
      <c r="DC496">
        <v>0</v>
      </c>
      <c r="DD496">
        <v>2</v>
      </c>
      <c r="DE496">
        <v>0</v>
      </c>
      <c r="DF496">
        <v>7</v>
      </c>
      <c r="DG496">
        <v>7</v>
      </c>
      <c r="DH496" t="s">
        <v>124</v>
      </c>
      <c r="DI496">
        <v>71</v>
      </c>
      <c r="DJ496">
        <v>0</v>
      </c>
      <c r="DK496" t="s">
        <v>134</v>
      </c>
      <c r="DL496" t="s">
        <v>135</v>
      </c>
      <c r="DO496">
        <v>10304255</v>
      </c>
      <c r="DQ496">
        <v>0</v>
      </c>
      <c r="DR496">
        <v>0</v>
      </c>
      <c r="DS496">
        <v>1</v>
      </c>
      <c r="DT496">
        <v>0</v>
      </c>
      <c r="DU496">
        <v>0</v>
      </c>
      <c r="DV496">
        <v>1</v>
      </c>
      <c r="DW496">
        <v>0</v>
      </c>
      <c r="DX496">
        <v>0</v>
      </c>
      <c r="DY496">
        <v>0</v>
      </c>
      <c r="DZ496">
        <v>0</v>
      </c>
      <c r="EA496">
        <v>0</v>
      </c>
    </row>
    <row r="497" spans="1:131" x14ac:dyDescent="0.35">
      <c r="A497" s="2" t="str">
        <f>"17:49:13.399"</f>
        <v>17:49:13.399</v>
      </c>
      <c r="B497" s="4">
        <f t="shared" si="79"/>
        <v>64153.398999999998</v>
      </c>
      <c r="C497" s="4">
        <f t="shared" si="73"/>
        <v>553.39899999999761</v>
      </c>
      <c r="D497" s="3">
        <f t="shared" si="74"/>
        <v>0.7425161921296296</v>
      </c>
      <c r="E497" s="2">
        <f t="shared" si="75"/>
        <v>0.7425161921296296</v>
      </c>
      <c r="G497" t="str">
        <f t="shared" si="70"/>
        <v>FFDFD7C0</v>
      </c>
      <c r="H497" t="s">
        <v>126</v>
      </c>
      <c r="I497">
        <v>8</v>
      </c>
      <c r="J497">
        <v>1008</v>
      </c>
      <c r="K497" t="s">
        <v>129</v>
      </c>
      <c r="N497" t="s">
        <v>127</v>
      </c>
      <c r="O497">
        <v>0</v>
      </c>
      <c r="P497">
        <v>3</v>
      </c>
      <c r="Q497">
        <v>0</v>
      </c>
      <c r="R497">
        <v>2</v>
      </c>
      <c r="S497">
        <v>1</v>
      </c>
      <c r="T497">
        <v>0</v>
      </c>
      <c r="U497">
        <v>0</v>
      </c>
      <c r="W497" t="str">
        <f>"17:49:13.148"</f>
        <v>17:49:13.148</v>
      </c>
      <c r="X497" t="str">
        <f>"17:49:12.848"</f>
        <v>17:49:12.848</v>
      </c>
      <c r="Y497" t="str">
        <f t="shared" si="71"/>
        <v>A7C771</v>
      </c>
      <c r="Z497">
        <v>0</v>
      </c>
      <c r="AA497">
        <v>0</v>
      </c>
      <c r="AB497">
        <v>2</v>
      </c>
      <c r="AC497">
        <v>0</v>
      </c>
      <c r="AE497">
        <v>0</v>
      </c>
      <c r="AF497">
        <v>8</v>
      </c>
      <c r="AG497">
        <v>3</v>
      </c>
      <c r="AH497">
        <v>0</v>
      </c>
      <c r="AI497">
        <v>9</v>
      </c>
      <c r="AJ497" t="s">
        <v>125</v>
      </c>
      <c r="AK497">
        <v>0</v>
      </c>
      <c r="AL497">
        <v>3</v>
      </c>
      <c r="AM497">
        <v>2</v>
      </c>
      <c r="AN497">
        <v>1</v>
      </c>
      <c r="AO497" t="s">
        <v>1041</v>
      </c>
      <c r="AP497">
        <v>43.121617000000001</v>
      </c>
      <c r="AQ497" t="s">
        <v>1042</v>
      </c>
      <c r="AR497">
        <v>-77.592916000000002</v>
      </c>
      <c r="AS497">
        <v>25</v>
      </c>
      <c r="AT497">
        <v>1375</v>
      </c>
      <c r="AU497" t="s">
        <v>123</v>
      </c>
      <c r="AV497">
        <v>-113</v>
      </c>
      <c r="AW497">
        <v>46</v>
      </c>
      <c r="AX497">
        <v>-960</v>
      </c>
      <c r="AZ497">
        <f t="shared" si="76"/>
        <v>12769</v>
      </c>
      <c r="BA497">
        <f t="shared" si="77"/>
        <v>2116</v>
      </c>
      <c r="BB497" s="1">
        <f t="shared" si="78"/>
        <v>122.00409829181969</v>
      </c>
      <c r="BJ497">
        <v>1404</v>
      </c>
      <c r="BK497">
        <v>1</v>
      </c>
      <c r="BL497" t="str">
        <f t="shared" si="72"/>
        <v xml:space="preserve">N600C   </v>
      </c>
      <c r="BM497">
        <v>2</v>
      </c>
      <c r="BO497">
        <v>0</v>
      </c>
      <c r="BP497">
        <v>0</v>
      </c>
      <c r="BQ497">
        <v>0</v>
      </c>
      <c r="BR497">
        <v>1575</v>
      </c>
      <c r="BS497">
        <v>200</v>
      </c>
      <c r="BT497" t="s">
        <v>128</v>
      </c>
      <c r="BU497">
        <v>0</v>
      </c>
      <c r="BV497">
        <v>0</v>
      </c>
      <c r="BW497">
        <v>0</v>
      </c>
      <c r="BX497">
        <v>1</v>
      </c>
      <c r="CA497">
        <v>0</v>
      </c>
      <c r="CB497">
        <v>0</v>
      </c>
      <c r="CC497">
        <v>0</v>
      </c>
      <c r="CM497" t="str">
        <f>"17:49:13.150"</f>
        <v>17:49:13.150</v>
      </c>
      <c r="CN497">
        <v>150214888</v>
      </c>
      <c r="CQ497">
        <v>0</v>
      </c>
      <c r="CR497">
        <v>2016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3</v>
      </c>
      <c r="DB497">
        <v>2</v>
      </c>
      <c r="DC497">
        <v>0</v>
      </c>
      <c r="DD497">
        <v>2</v>
      </c>
      <c r="DE497">
        <v>0</v>
      </c>
      <c r="DF497">
        <v>7</v>
      </c>
      <c r="DG497">
        <v>7</v>
      </c>
      <c r="DH497" t="s">
        <v>124</v>
      </c>
      <c r="DI497">
        <v>71</v>
      </c>
      <c r="DJ497">
        <v>0</v>
      </c>
      <c r="DK497" t="s">
        <v>134</v>
      </c>
      <c r="DL497" t="s">
        <v>135</v>
      </c>
      <c r="DO497">
        <v>10305023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1</v>
      </c>
      <c r="DW497">
        <v>0</v>
      </c>
      <c r="DX497">
        <v>0</v>
      </c>
      <c r="DY497">
        <v>0</v>
      </c>
      <c r="DZ497">
        <v>0</v>
      </c>
      <c r="EA497">
        <v>0</v>
      </c>
    </row>
    <row r="498" spans="1:131" x14ac:dyDescent="0.35">
      <c r="A498" s="2" t="str">
        <f>"17:49:14.585"</f>
        <v>17:49:14.585</v>
      </c>
      <c r="B498" s="4">
        <f t="shared" si="79"/>
        <v>64154.584999999999</v>
      </c>
      <c r="C498" s="4">
        <f t="shared" si="73"/>
        <v>554.58499999999913</v>
      </c>
      <c r="D498" s="3">
        <f t="shared" si="74"/>
        <v>0.74252991898148146</v>
      </c>
      <c r="E498" s="2">
        <f t="shared" si="75"/>
        <v>0.74252991898148146</v>
      </c>
      <c r="G498" t="str">
        <f t="shared" si="70"/>
        <v>FFDFD7C0</v>
      </c>
      <c r="H498" t="s">
        <v>126</v>
      </c>
      <c r="I498">
        <v>8</v>
      </c>
      <c r="J498">
        <v>1008</v>
      </c>
      <c r="K498" t="s">
        <v>129</v>
      </c>
      <c r="N498" t="s">
        <v>127</v>
      </c>
      <c r="O498">
        <v>0</v>
      </c>
      <c r="P498">
        <v>3</v>
      </c>
      <c r="Q498">
        <v>0</v>
      </c>
      <c r="R498">
        <v>2</v>
      </c>
      <c r="S498">
        <v>1</v>
      </c>
      <c r="T498">
        <v>0</v>
      </c>
      <c r="U498">
        <v>0</v>
      </c>
      <c r="W498" t="str">
        <f>"17:49:14.164"</f>
        <v>17:49:14.164</v>
      </c>
      <c r="X498" t="str">
        <f>"17:49:13.864"</f>
        <v>17:49:13.864</v>
      </c>
      <c r="Y498" t="str">
        <f t="shared" si="71"/>
        <v>A7C771</v>
      </c>
      <c r="Z498">
        <v>0</v>
      </c>
      <c r="AA498">
        <v>0</v>
      </c>
      <c r="AB498">
        <v>2</v>
      </c>
      <c r="AC498">
        <v>0</v>
      </c>
      <c r="AE498">
        <v>0</v>
      </c>
      <c r="AF498">
        <v>8</v>
      </c>
      <c r="AG498">
        <v>3</v>
      </c>
      <c r="AH498">
        <v>0</v>
      </c>
      <c r="AI498">
        <v>9</v>
      </c>
      <c r="AJ498" t="s">
        <v>125</v>
      </c>
      <c r="AK498">
        <v>0</v>
      </c>
      <c r="AL498">
        <v>3</v>
      </c>
      <c r="AM498">
        <v>2</v>
      </c>
      <c r="AN498">
        <v>1</v>
      </c>
      <c r="AO498" t="s">
        <v>1043</v>
      </c>
      <c r="AP498">
        <v>43.121831</v>
      </c>
      <c r="AQ498" t="s">
        <v>1044</v>
      </c>
      <c r="AR498">
        <v>-77.593688999999998</v>
      </c>
      <c r="AS498">
        <v>25</v>
      </c>
      <c r="AT498">
        <v>1350</v>
      </c>
      <c r="AU498" t="s">
        <v>123</v>
      </c>
      <c r="AV498">
        <v>-113</v>
      </c>
      <c r="AW498">
        <v>46</v>
      </c>
      <c r="AX498">
        <v>-1024</v>
      </c>
      <c r="AZ498">
        <f t="shared" si="76"/>
        <v>12769</v>
      </c>
      <c r="BA498">
        <f t="shared" si="77"/>
        <v>2116</v>
      </c>
      <c r="BB498" s="1">
        <f t="shared" si="78"/>
        <v>122.00409829181969</v>
      </c>
      <c r="BJ498">
        <v>1404</v>
      </c>
      <c r="BK498">
        <v>1</v>
      </c>
      <c r="BL498" t="str">
        <f t="shared" si="72"/>
        <v xml:space="preserve">N600C   </v>
      </c>
      <c r="BM498">
        <v>2</v>
      </c>
      <c r="BO498">
        <v>0</v>
      </c>
      <c r="BP498">
        <v>0</v>
      </c>
      <c r="BQ498">
        <v>0</v>
      </c>
      <c r="BR498">
        <v>1550</v>
      </c>
      <c r="BS498">
        <v>200</v>
      </c>
      <c r="BT498" t="s">
        <v>128</v>
      </c>
      <c r="BU498">
        <v>0</v>
      </c>
      <c r="BV498">
        <v>0</v>
      </c>
      <c r="BW498">
        <v>0</v>
      </c>
      <c r="BX498">
        <v>1</v>
      </c>
      <c r="CA498">
        <v>0</v>
      </c>
      <c r="CB498">
        <v>0</v>
      </c>
      <c r="CC498">
        <v>0</v>
      </c>
      <c r="CM498" t="str">
        <f>"17:49:14.166"</f>
        <v>17:49:14.166</v>
      </c>
      <c r="CN498">
        <v>166397176</v>
      </c>
      <c r="CQ498">
        <v>0</v>
      </c>
      <c r="CR498">
        <v>2016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3</v>
      </c>
      <c r="DB498">
        <v>2</v>
      </c>
      <c r="DC498">
        <v>0</v>
      </c>
      <c r="DD498">
        <v>2</v>
      </c>
      <c r="DE498">
        <v>0</v>
      </c>
      <c r="DF498">
        <v>7</v>
      </c>
      <c r="DG498">
        <v>7</v>
      </c>
      <c r="DH498" t="s">
        <v>124</v>
      </c>
      <c r="DI498">
        <v>71</v>
      </c>
      <c r="DJ498">
        <v>1</v>
      </c>
      <c r="DK498" t="s">
        <v>134</v>
      </c>
      <c r="DL498" t="s">
        <v>135</v>
      </c>
      <c r="DO498">
        <v>11677124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1</v>
      </c>
      <c r="DW498">
        <v>0</v>
      </c>
      <c r="DX498">
        <v>0</v>
      </c>
      <c r="DY498">
        <v>0</v>
      </c>
      <c r="DZ498">
        <v>0</v>
      </c>
      <c r="EA498">
        <v>0</v>
      </c>
    </row>
    <row r="499" spans="1:131" x14ac:dyDescent="0.35">
      <c r="A499" s="2" t="str">
        <f>"17:49:15.304"</f>
        <v>17:49:15.304</v>
      </c>
      <c r="B499" s="4">
        <f t="shared" si="79"/>
        <v>64155.303999999996</v>
      </c>
      <c r="C499" s="4">
        <f t="shared" si="73"/>
        <v>555.30399999999645</v>
      </c>
      <c r="D499" s="3">
        <f t="shared" si="74"/>
        <v>0.74253824074074071</v>
      </c>
      <c r="E499" s="2">
        <f t="shared" si="75"/>
        <v>0.74253824074074071</v>
      </c>
      <c r="G499" t="str">
        <f t="shared" si="70"/>
        <v>FFDFD7C0</v>
      </c>
      <c r="H499" t="s">
        <v>126</v>
      </c>
      <c r="I499">
        <v>8</v>
      </c>
      <c r="J499">
        <v>1008</v>
      </c>
      <c r="K499" t="s">
        <v>129</v>
      </c>
      <c r="N499" t="s">
        <v>127</v>
      </c>
      <c r="O499">
        <v>0</v>
      </c>
      <c r="P499">
        <v>3</v>
      </c>
      <c r="Q499">
        <v>0</v>
      </c>
      <c r="R499">
        <v>2</v>
      </c>
      <c r="S499">
        <v>1</v>
      </c>
      <c r="T499">
        <v>0</v>
      </c>
      <c r="U499">
        <v>0</v>
      </c>
      <c r="W499" t="str">
        <f>"17:49:15.070"</f>
        <v>17:49:15.070</v>
      </c>
      <c r="X499" t="str">
        <f>"17:49:14.770"</f>
        <v>17:49:14.770</v>
      </c>
      <c r="Y499" t="str">
        <f t="shared" si="71"/>
        <v>A7C771</v>
      </c>
      <c r="Z499">
        <v>0</v>
      </c>
      <c r="AA499">
        <v>0</v>
      </c>
      <c r="AB499">
        <v>2</v>
      </c>
      <c r="AC499">
        <v>0</v>
      </c>
      <c r="AE499">
        <v>0</v>
      </c>
      <c r="AF499">
        <v>8</v>
      </c>
      <c r="AG499">
        <v>3</v>
      </c>
      <c r="AH499">
        <v>0</v>
      </c>
      <c r="AI499">
        <v>9</v>
      </c>
      <c r="AJ499" t="s">
        <v>125</v>
      </c>
      <c r="AK499">
        <v>0</v>
      </c>
      <c r="AL499">
        <v>3</v>
      </c>
      <c r="AM499">
        <v>2</v>
      </c>
      <c r="AN499">
        <v>1</v>
      </c>
      <c r="AO499" t="s">
        <v>1045</v>
      </c>
      <c r="AP499">
        <v>43.121982000000003</v>
      </c>
      <c r="AQ499" t="s">
        <v>1046</v>
      </c>
      <c r="AR499">
        <v>-77.594268</v>
      </c>
      <c r="AS499">
        <v>25</v>
      </c>
      <c r="AT499">
        <v>1325</v>
      </c>
      <c r="AU499" t="s">
        <v>123</v>
      </c>
      <c r="AV499">
        <v>-113</v>
      </c>
      <c r="AW499">
        <v>45</v>
      </c>
      <c r="AX499">
        <v>-1088</v>
      </c>
      <c r="AZ499">
        <f t="shared" si="76"/>
        <v>12769</v>
      </c>
      <c r="BA499">
        <f t="shared" si="77"/>
        <v>2025</v>
      </c>
      <c r="BB499" s="1">
        <f t="shared" si="78"/>
        <v>121.63058825805291</v>
      </c>
      <c r="BJ499">
        <v>1404</v>
      </c>
      <c r="BK499">
        <v>1</v>
      </c>
      <c r="BL499" t="str">
        <f t="shared" si="72"/>
        <v xml:space="preserve">N600C   </v>
      </c>
      <c r="BM499">
        <v>2</v>
      </c>
      <c r="BO499">
        <v>0</v>
      </c>
      <c r="BP499">
        <v>0</v>
      </c>
      <c r="BQ499">
        <v>0</v>
      </c>
      <c r="BR499">
        <v>1550</v>
      </c>
      <c r="BS499">
        <v>225</v>
      </c>
      <c r="BT499" t="s">
        <v>128</v>
      </c>
      <c r="BU499">
        <v>0</v>
      </c>
      <c r="BV499">
        <v>0</v>
      </c>
      <c r="BW499">
        <v>0</v>
      </c>
      <c r="BX499">
        <v>1</v>
      </c>
      <c r="CA499">
        <v>0</v>
      </c>
      <c r="CB499">
        <v>0</v>
      </c>
      <c r="CC499">
        <v>0</v>
      </c>
      <c r="CM499" t="str">
        <f>"17:49:15.071"</f>
        <v>17:49:15.071</v>
      </c>
      <c r="CN499">
        <v>70558610</v>
      </c>
      <c r="CQ499">
        <v>0</v>
      </c>
      <c r="CR499">
        <v>2016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3</v>
      </c>
      <c r="DB499">
        <v>2</v>
      </c>
      <c r="DC499">
        <v>0</v>
      </c>
      <c r="DD499">
        <v>2</v>
      </c>
      <c r="DE499">
        <v>0</v>
      </c>
      <c r="DF499">
        <v>6</v>
      </c>
      <c r="DG499">
        <v>7</v>
      </c>
      <c r="DH499" t="s">
        <v>124</v>
      </c>
      <c r="DI499">
        <v>71</v>
      </c>
      <c r="DJ499">
        <v>0</v>
      </c>
      <c r="DK499" t="s">
        <v>134</v>
      </c>
      <c r="DL499" t="s">
        <v>135</v>
      </c>
      <c r="DO499">
        <v>10306391</v>
      </c>
      <c r="DQ499">
        <v>0</v>
      </c>
      <c r="DR499">
        <v>0</v>
      </c>
      <c r="DS499">
        <v>1</v>
      </c>
      <c r="DT499">
        <v>0</v>
      </c>
      <c r="DU499">
        <v>0</v>
      </c>
      <c r="DV499">
        <v>1</v>
      </c>
      <c r="DW499">
        <v>0</v>
      </c>
      <c r="DX499">
        <v>0</v>
      </c>
      <c r="DY499">
        <v>0</v>
      </c>
      <c r="DZ499">
        <v>0</v>
      </c>
      <c r="EA499">
        <v>0</v>
      </c>
    </row>
    <row r="500" spans="1:131" x14ac:dyDescent="0.35">
      <c r="A500" s="2" t="str">
        <f>"17:49:16.476"</f>
        <v>17:49:16.476</v>
      </c>
      <c r="B500" s="4">
        <f t="shared" si="79"/>
        <v>64156.476000000002</v>
      </c>
      <c r="C500" s="4">
        <f t="shared" si="73"/>
        <v>556.47600000000239</v>
      </c>
      <c r="D500" s="3">
        <f t="shared" si="74"/>
        <v>0.74255180555555556</v>
      </c>
      <c r="E500" s="2">
        <f t="shared" si="75"/>
        <v>0.74255180555555556</v>
      </c>
      <c r="G500" t="str">
        <f t="shared" si="70"/>
        <v>FFDFD7C0</v>
      </c>
      <c r="H500" t="s">
        <v>126</v>
      </c>
      <c r="I500">
        <v>8</v>
      </c>
      <c r="J500">
        <v>1008</v>
      </c>
      <c r="K500" t="s">
        <v>129</v>
      </c>
      <c r="N500" t="s">
        <v>127</v>
      </c>
      <c r="O500">
        <v>0</v>
      </c>
      <c r="P500">
        <v>3</v>
      </c>
      <c r="Q500">
        <v>0</v>
      </c>
      <c r="R500">
        <v>2</v>
      </c>
      <c r="S500">
        <v>1</v>
      </c>
      <c r="T500">
        <v>0</v>
      </c>
      <c r="U500">
        <v>0</v>
      </c>
      <c r="W500" t="str">
        <f>"17:49:16.156"</f>
        <v>17:49:16.156</v>
      </c>
      <c r="X500" t="str">
        <f>"17:49:15.856"</f>
        <v>17:49:15.856</v>
      </c>
      <c r="Y500" t="str">
        <f t="shared" si="71"/>
        <v>A7C771</v>
      </c>
      <c r="Z500">
        <v>0</v>
      </c>
      <c r="AA500">
        <v>0</v>
      </c>
      <c r="AB500">
        <v>2</v>
      </c>
      <c r="AC500">
        <v>0</v>
      </c>
      <c r="AE500">
        <v>0</v>
      </c>
      <c r="AF500">
        <v>8</v>
      </c>
      <c r="AG500">
        <v>3</v>
      </c>
      <c r="AH500">
        <v>0</v>
      </c>
      <c r="AI500">
        <v>9</v>
      </c>
      <c r="AJ500" t="s">
        <v>125</v>
      </c>
      <c r="AK500">
        <v>0</v>
      </c>
      <c r="AL500">
        <v>3</v>
      </c>
      <c r="AM500">
        <v>2</v>
      </c>
      <c r="AN500">
        <v>1</v>
      </c>
      <c r="AO500" t="s">
        <v>1047</v>
      </c>
      <c r="AP500">
        <v>43.122217999999997</v>
      </c>
      <c r="AQ500" t="s">
        <v>1048</v>
      </c>
      <c r="AR500">
        <v>-77.595084</v>
      </c>
      <c r="AS500">
        <v>25</v>
      </c>
      <c r="AT500">
        <v>1300</v>
      </c>
      <c r="AU500" t="s">
        <v>123</v>
      </c>
      <c r="AV500">
        <v>-113</v>
      </c>
      <c r="AW500">
        <v>43</v>
      </c>
      <c r="AX500">
        <v>-1152</v>
      </c>
      <c r="AZ500">
        <f t="shared" si="76"/>
        <v>12769</v>
      </c>
      <c r="BA500">
        <f t="shared" si="77"/>
        <v>1849</v>
      </c>
      <c r="BB500" s="1">
        <f t="shared" si="78"/>
        <v>120.90492132250036</v>
      </c>
      <c r="BJ500">
        <v>1404</v>
      </c>
      <c r="BK500">
        <v>1</v>
      </c>
      <c r="BL500" t="str">
        <f t="shared" si="72"/>
        <v xml:space="preserve">N600C   </v>
      </c>
      <c r="BM500">
        <v>2</v>
      </c>
      <c r="BO500">
        <v>0</v>
      </c>
      <c r="BP500">
        <v>0</v>
      </c>
      <c r="BQ500">
        <v>0</v>
      </c>
      <c r="BR500">
        <v>1550</v>
      </c>
      <c r="BS500">
        <v>250</v>
      </c>
      <c r="BT500" t="s">
        <v>128</v>
      </c>
      <c r="BU500">
        <v>0</v>
      </c>
      <c r="BV500">
        <v>0</v>
      </c>
      <c r="BW500">
        <v>0</v>
      </c>
      <c r="BX500">
        <v>1</v>
      </c>
      <c r="CA500">
        <v>0</v>
      </c>
      <c r="CB500">
        <v>0</v>
      </c>
      <c r="CC500">
        <v>0</v>
      </c>
      <c r="CM500" t="str">
        <f>"17:49:16.159"</f>
        <v>17:49:16.159</v>
      </c>
      <c r="CN500">
        <v>158757459</v>
      </c>
      <c r="CQ500">
        <v>0</v>
      </c>
      <c r="CR500">
        <v>2016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3</v>
      </c>
      <c r="DB500">
        <v>2</v>
      </c>
      <c r="DC500">
        <v>0</v>
      </c>
      <c r="DD500">
        <v>2</v>
      </c>
      <c r="DE500">
        <v>0</v>
      </c>
      <c r="DF500">
        <v>7</v>
      </c>
      <c r="DG500">
        <v>7</v>
      </c>
      <c r="DH500" t="s">
        <v>124</v>
      </c>
      <c r="DI500">
        <v>407</v>
      </c>
      <c r="DJ500">
        <v>3</v>
      </c>
      <c r="DK500" t="s">
        <v>132</v>
      </c>
      <c r="DL500" t="s">
        <v>133</v>
      </c>
      <c r="DO500">
        <v>1776686</v>
      </c>
      <c r="DQ500">
        <v>0</v>
      </c>
      <c r="DR500">
        <v>0</v>
      </c>
      <c r="DS500">
        <v>1</v>
      </c>
      <c r="DT500">
        <v>0</v>
      </c>
      <c r="DU500">
        <v>0</v>
      </c>
      <c r="DV500">
        <v>1</v>
      </c>
      <c r="DW500">
        <v>0</v>
      </c>
      <c r="DX500">
        <v>0</v>
      </c>
      <c r="DY500">
        <v>0</v>
      </c>
      <c r="DZ500">
        <v>0</v>
      </c>
      <c r="EA500">
        <v>0</v>
      </c>
    </row>
    <row r="501" spans="1:131" x14ac:dyDescent="0.35">
      <c r="A501" s="2" t="str">
        <f>"17:49:17.336"</f>
        <v>17:49:17.336</v>
      </c>
      <c r="B501" s="4">
        <f t="shared" si="79"/>
        <v>64157.336000000003</v>
      </c>
      <c r="C501" s="4">
        <f t="shared" si="73"/>
        <v>557.33600000000297</v>
      </c>
      <c r="D501" s="3">
        <f t="shared" si="74"/>
        <v>0.74256175925925927</v>
      </c>
      <c r="E501" s="2">
        <f t="shared" si="75"/>
        <v>0.74256175925925927</v>
      </c>
      <c r="G501" t="str">
        <f t="shared" si="70"/>
        <v>FFDFD7C0</v>
      </c>
      <c r="H501" t="s">
        <v>126</v>
      </c>
      <c r="I501">
        <v>8</v>
      </c>
      <c r="J501">
        <v>1008</v>
      </c>
      <c r="K501" t="s">
        <v>129</v>
      </c>
      <c r="N501" t="s">
        <v>127</v>
      </c>
      <c r="O501">
        <v>0</v>
      </c>
      <c r="P501">
        <v>3</v>
      </c>
      <c r="Q501">
        <v>0</v>
      </c>
      <c r="R501">
        <v>2</v>
      </c>
      <c r="S501">
        <v>1</v>
      </c>
      <c r="T501">
        <v>0</v>
      </c>
      <c r="U501">
        <v>0</v>
      </c>
      <c r="W501" t="str">
        <f>"17:49:17.016"</f>
        <v>17:49:17.016</v>
      </c>
      <c r="X501" t="str">
        <f>"17:49:16.816"</f>
        <v>17:49:16.816</v>
      </c>
      <c r="Y501" t="str">
        <f t="shared" si="71"/>
        <v>A7C771</v>
      </c>
      <c r="Z501">
        <v>0</v>
      </c>
      <c r="AA501">
        <v>0</v>
      </c>
      <c r="AB501">
        <v>2</v>
      </c>
      <c r="AC501">
        <v>0</v>
      </c>
      <c r="AE501">
        <v>0</v>
      </c>
      <c r="AF501">
        <v>8</v>
      </c>
      <c r="AG501">
        <v>3</v>
      </c>
      <c r="AH501">
        <v>0</v>
      </c>
      <c r="AI501">
        <v>9</v>
      </c>
      <c r="AJ501" t="s">
        <v>125</v>
      </c>
      <c r="AK501">
        <v>0</v>
      </c>
      <c r="AL501">
        <v>3</v>
      </c>
      <c r="AM501">
        <v>2</v>
      </c>
      <c r="AN501">
        <v>1</v>
      </c>
      <c r="AO501" t="s">
        <v>1049</v>
      </c>
      <c r="AP501">
        <v>43.122368000000002</v>
      </c>
      <c r="AQ501" t="s">
        <v>1050</v>
      </c>
      <c r="AR501">
        <v>-77.595706000000007</v>
      </c>
      <c r="AS501">
        <v>25</v>
      </c>
      <c r="AT501">
        <v>1300</v>
      </c>
      <c r="AU501" t="s">
        <v>123</v>
      </c>
      <c r="AV501">
        <v>-113</v>
      </c>
      <c r="AW501">
        <v>40</v>
      </c>
      <c r="AX501">
        <v>-1088</v>
      </c>
      <c r="AZ501">
        <f t="shared" si="76"/>
        <v>12769</v>
      </c>
      <c r="BA501">
        <f t="shared" si="77"/>
        <v>1600</v>
      </c>
      <c r="BB501" s="1">
        <f t="shared" si="78"/>
        <v>119.87076374162301</v>
      </c>
      <c r="BJ501">
        <v>1404</v>
      </c>
      <c r="BK501">
        <v>1</v>
      </c>
      <c r="BL501" t="str">
        <f t="shared" si="72"/>
        <v xml:space="preserve">N600C   </v>
      </c>
      <c r="BM501">
        <v>2</v>
      </c>
      <c r="BO501">
        <v>0</v>
      </c>
      <c r="BP501">
        <v>0</v>
      </c>
      <c r="BQ501">
        <v>0</v>
      </c>
      <c r="BR501">
        <v>1525</v>
      </c>
      <c r="BS501">
        <v>225</v>
      </c>
      <c r="BT501" t="s">
        <v>128</v>
      </c>
      <c r="BU501">
        <v>0</v>
      </c>
      <c r="BV501">
        <v>0</v>
      </c>
      <c r="BW501">
        <v>0</v>
      </c>
      <c r="BX501">
        <v>1</v>
      </c>
      <c r="CA501">
        <v>0</v>
      </c>
      <c r="CB501">
        <v>0</v>
      </c>
      <c r="CC501">
        <v>0</v>
      </c>
      <c r="CM501" t="str">
        <f>"17:49:17.023"</f>
        <v>17:49:17.023</v>
      </c>
      <c r="CN501">
        <v>22910935</v>
      </c>
      <c r="CQ501">
        <v>0</v>
      </c>
      <c r="CR501">
        <v>2016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3</v>
      </c>
      <c r="DB501">
        <v>2</v>
      </c>
      <c r="DC501">
        <v>0</v>
      </c>
      <c r="DD501">
        <v>2</v>
      </c>
      <c r="DE501">
        <v>0</v>
      </c>
      <c r="DF501">
        <v>7</v>
      </c>
      <c r="DG501">
        <v>7</v>
      </c>
      <c r="DH501" t="s">
        <v>124</v>
      </c>
      <c r="DI501">
        <v>407</v>
      </c>
      <c r="DJ501">
        <v>3</v>
      </c>
      <c r="DK501" t="s">
        <v>132</v>
      </c>
      <c r="DL501" t="s">
        <v>133</v>
      </c>
      <c r="DO501">
        <v>1777640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1</v>
      </c>
      <c r="DW501">
        <v>0</v>
      </c>
      <c r="DX501">
        <v>0</v>
      </c>
      <c r="DY501">
        <v>0</v>
      </c>
      <c r="DZ501">
        <v>0</v>
      </c>
      <c r="EA501">
        <v>0</v>
      </c>
    </row>
    <row r="502" spans="1:131" x14ac:dyDescent="0.35">
      <c r="A502" s="2" t="str">
        <f>"17:49:18.273"</f>
        <v>17:49:18.273</v>
      </c>
      <c r="B502" s="4">
        <f t="shared" si="79"/>
        <v>64158.273000000001</v>
      </c>
      <c r="C502" s="4">
        <f t="shared" si="73"/>
        <v>558.27300000000105</v>
      </c>
      <c r="D502" s="3">
        <f t="shared" si="74"/>
        <v>0.74257260416666671</v>
      </c>
      <c r="E502" s="2">
        <f t="shared" si="75"/>
        <v>0.74257260416666671</v>
      </c>
      <c r="G502" t="str">
        <f t="shared" si="70"/>
        <v>FFDFD7C0</v>
      </c>
      <c r="H502" t="s">
        <v>126</v>
      </c>
      <c r="I502">
        <v>8</v>
      </c>
      <c r="J502">
        <v>1008</v>
      </c>
      <c r="K502" t="s">
        <v>129</v>
      </c>
      <c r="N502" t="s">
        <v>127</v>
      </c>
      <c r="O502">
        <v>0</v>
      </c>
      <c r="P502">
        <v>3</v>
      </c>
      <c r="Q502">
        <v>0</v>
      </c>
      <c r="R502">
        <v>2</v>
      </c>
      <c r="S502">
        <v>1</v>
      </c>
      <c r="T502">
        <v>0</v>
      </c>
      <c r="U502">
        <v>0</v>
      </c>
      <c r="W502" t="str">
        <f>"17:49:18.016"</f>
        <v>17:49:18.016</v>
      </c>
      <c r="X502" t="str">
        <f>"17:49:17.716"</f>
        <v>17:49:17.716</v>
      </c>
      <c r="Y502" t="str">
        <f t="shared" si="71"/>
        <v>A7C771</v>
      </c>
      <c r="Z502">
        <v>0</v>
      </c>
      <c r="AA502">
        <v>0</v>
      </c>
      <c r="AB502">
        <v>2</v>
      </c>
      <c r="AC502">
        <v>0</v>
      </c>
      <c r="AE502">
        <v>0</v>
      </c>
      <c r="AF502">
        <v>8</v>
      </c>
      <c r="AG502">
        <v>3</v>
      </c>
      <c r="AH502">
        <v>0</v>
      </c>
      <c r="AI502">
        <v>9</v>
      </c>
      <c r="AJ502" t="s">
        <v>125</v>
      </c>
      <c r="AK502">
        <v>0</v>
      </c>
      <c r="AL502">
        <v>3</v>
      </c>
      <c r="AM502">
        <v>2</v>
      </c>
      <c r="AN502">
        <v>1</v>
      </c>
      <c r="AO502" t="s">
        <v>1051</v>
      </c>
      <c r="AP502">
        <v>43.122540000000001</v>
      </c>
      <c r="AQ502" t="s">
        <v>1052</v>
      </c>
      <c r="AR502">
        <v>-77.596435999999997</v>
      </c>
      <c r="AS502">
        <v>25</v>
      </c>
      <c r="AT502">
        <v>1275</v>
      </c>
      <c r="AU502" t="s">
        <v>123</v>
      </c>
      <c r="AV502">
        <v>-113</v>
      </c>
      <c r="AW502">
        <v>38</v>
      </c>
      <c r="AX502">
        <v>-960</v>
      </c>
      <c r="AZ502">
        <f t="shared" si="76"/>
        <v>12769</v>
      </c>
      <c r="BA502">
        <f t="shared" si="77"/>
        <v>1444</v>
      </c>
      <c r="BB502" s="1">
        <f t="shared" si="78"/>
        <v>119.21828718783037</v>
      </c>
      <c r="BJ502">
        <v>1404</v>
      </c>
      <c r="BK502">
        <v>1</v>
      </c>
      <c r="BL502" t="str">
        <f t="shared" si="72"/>
        <v xml:space="preserve">N600C   </v>
      </c>
      <c r="BM502">
        <v>2</v>
      </c>
      <c r="BO502">
        <v>0</v>
      </c>
      <c r="BP502">
        <v>0</v>
      </c>
      <c r="BQ502">
        <v>0</v>
      </c>
      <c r="BR502">
        <v>1500</v>
      </c>
      <c r="BS502">
        <v>225</v>
      </c>
      <c r="BT502" t="s">
        <v>128</v>
      </c>
      <c r="BU502">
        <v>0</v>
      </c>
      <c r="BV502">
        <v>0</v>
      </c>
      <c r="BW502">
        <v>0</v>
      </c>
      <c r="BX502">
        <v>1</v>
      </c>
      <c r="CA502">
        <v>0</v>
      </c>
      <c r="CB502">
        <v>0</v>
      </c>
      <c r="CC502">
        <v>0</v>
      </c>
      <c r="CM502" t="str">
        <f>"17:49:18.023"</f>
        <v>17:49:18.023</v>
      </c>
      <c r="CN502">
        <v>23093870</v>
      </c>
      <c r="CQ502">
        <v>0</v>
      </c>
      <c r="CR502">
        <v>2016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3</v>
      </c>
      <c r="DB502">
        <v>2</v>
      </c>
      <c r="DC502">
        <v>0</v>
      </c>
      <c r="DD502">
        <v>2</v>
      </c>
      <c r="DE502">
        <v>0</v>
      </c>
      <c r="DF502">
        <v>7</v>
      </c>
      <c r="DG502">
        <v>7</v>
      </c>
      <c r="DH502" t="s">
        <v>124</v>
      </c>
      <c r="DI502">
        <v>407</v>
      </c>
      <c r="DJ502">
        <v>3</v>
      </c>
      <c r="DK502" t="s">
        <v>132</v>
      </c>
      <c r="DL502" t="s">
        <v>133</v>
      </c>
      <c r="DO502">
        <v>1778790</v>
      </c>
      <c r="DQ502">
        <v>0</v>
      </c>
      <c r="DR502">
        <v>0</v>
      </c>
      <c r="DS502">
        <v>1</v>
      </c>
      <c r="DT502">
        <v>0</v>
      </c>
      <c r="DU502">
        <v>0</v>
      </c>
      <c r="DV502">
        <v>1</v>
      </c>
      <c r="DW502">
        <v>0</v>
      </c>
      <c r="DX502">
        <v>0</v>
      </c>
      <c r="DY502">
        <v>0</v>
      </c>
      <c r="DZ502">
        <v>0</v>
      </c>
      <c r="EA502">
        <v>0</v>
      </c>
    </row>
    <row r="503" spans="1:131" x14ac:dyDescent="0.35">
      <c r="A503" s="2" t="str">
        <f>"17:49:19.382"</f>
        <v>17:49:19.382</v>
      </c>
      <c r="B503" s="4">
        <f t="shared" si="79"/>
        <v>64159.382000000005</v>
      </c>
      <c r="C503" s="4">
        <f t="shared" si="73"/>
        <v>559.38200000000506</v>
      </c>
      <c r="D503" s="3">
        <f t="shared" si="74"/>
        <v>0.74258543981481484</v>
      </c>
      <c r="E503" s="2">
        <f t="shared" si="75"/>
        <v>0.74258543981481484</v>
      </c>
      <c r="G503" t="str">
        <f t="shared" si="70"/>
        <v>FFDFD7C0</v>
      </c>
      <c r="H503" t="s">
        <v>126</v>
      </c>
      <c r="I503">
        <v>8</v>
      </c>
      <c r="J503">
        <v>1008</v>
      </c>
      <c r="K503" t="s">
        <v>129</v>
      </c>
      <c r="N503" t="s">
        <v>127</v>
      </c>
      <c r="O503">
        <v>0</v>
      </c>
      <c r="P503">
        <v>3</v>
      </c>
      <c r="Q503">
        <v>0</v>
      </c>
      <c r="R503">
        <v>2</v>
      </c>
      <c r="S503">
        <v>1</v>
      </c>
      <c r="T503">
        <v>0</v>
      </c>
      <c r="U503">
        <v>0</v>
      </c>
      <c r="W503" t="str">
        <f>"17:49:19.039"</f>
        <v>17:49:19.039</v>
      </c>
      <c r="X503" t="str">
        <f>"17:49:18.839"</f>
        <v>17:49:18.839</v>
      </c>
      <c r="Y503" t="str">
        <f t="shared" si="71"/>
        <v>A7C771</v>
      </c>
      <c r="Z503">
        <v>0</v>
      </c>
      <c r="AA503">
        <v>0</v>
      </c>
      <c r="AB503">
        <v>2</v>
      </c>
      <c r="AC503">
        <v>0</v>
      </c>
      <c r="AE503">
        <v>0</v>
      </c>
      <c r="AF503">
        <v>8</v>
      </c>
      <c r="AG503">
        <v>3</v>
      </c>
      <c r="AH503">
        <v>0</v>
      </c>
      <c r="AI503">
        <v>9</v>
      </c>
      <c r="AJ503" t="s">
        <v>125</v>
      </c>
      <c r="AK503">
        <v>0</v>
      </c>
      <c r="AL503">
        <v>3</v>
      </c>
      <c r="AM503">
        <v>2</v>
      </c>
      <c r="AN503">
        <v>1</v>
      </c>
      <c r="AO503" t="s">
        <v>1053</v>
      </c>
      <c r="AP503">
        <v>43.122689999999999</v>
      </c>
      <c r="AQ503" t="s">
        <v>1054</v>
      </c>
      <c r="AR503">
        <v>-77.597165000000004</v>
      </c>
      <c r="AS503">
        <v>25</v>
      </c>
      <c r="AT503">
        <v>1250</v>
      </c>
      <c r="AU503" t="s">
        <v>123</v>
      </c>
      <c r="AV503">
        <v>-113</v>
      </c>
      <c r="AW503">
        <v>36</v>
      </c>
      <c r="AX503">
        <v>-960</v>
      </c>
      <c r="AZ503">
        <f t="shared" si="76"/>
        <v>12769</v>
      </c>
      <c r="BA503">
        <f t="shared" si="77"/>
        <v>1296</v>
      </c>
      <c r="BB503" s="1">
        <f t="shared" si="78"/>
        <v>118.59595271340417</v>
      </c>
      <c r="BJ503">
        <v>1404</v>
      </c>
      <c r="BK503">
        <v>1</v>
      </c>
      <c r="BL503" t="str">
        <f t="shared" si="72"/>
        <v xml:space="preserve">N600C   </v>
      </c>
      <c r="BM503">
        <v>2</v>
      </c>
      <c r="BO503">
        <v>0</v>
      </c>
      <c r="BP503">
        <v>0</v>
      </c>
      <c r="BQ503">
        <v>0</v>
      </c>
      <c r="BR503">
        <v>1500</v>
      </c>
      <c r="BS503">
        <v>250</v>
      </c>
      <c r="BT503" t="s">
        <v>128</v>
      </c>
      <c r="BU503">
        <v>0</v>
      </c>
      <c r="BV503">
        <v>0</v>
      </c>
      <c r="BW503">
        <v>0</v>
      </c>
      <c r="BX503">
        <v>1</v>
      </c>
      <c r="CA503">
        <v>0</v>
      </c>
      <c r="CB503">
        <v>0</v>
      </c>
      <c r="CC503">
        <v>0</v>
      </c>
      <c r="CM503" t="str">
        <f>"17:49:19.039"</f>
        <v>17:49:19.039</v>
      </c>
      <c r="CN503">
        <v>39279128</v>
      </c>
      <c r="CQ503">
        <v>0</v>
      </c>
      <c r="CR503">
        <v>2016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3</v>
      </c>
      <c r="DB503">
        <v>2</v>
      </c>
      <c r="DC503">
        <v>0</v>
      </c>
      <c r="DD503">
        <v>2</v>
      </c>
      <c r="DE503">
        <v>0</v>
      </c>
      <c r="DF503">
        <v>6</v>
      </c>
      <c r="DG503">
        <v>7</v>
      </c>
      <c r="DH503" t="s">
        <v>124</v>
      </c>
      <c r="DI503">
        <v>71</v>
      </c>
      <c r="DJ503">
        <v>0</v>
      </c>
      <c r="DK503" t="s">
        <v>134</v>
      </c>
      <c r="DL503" t="s">
        <v>135</v>
      </c>
      <c r="DO503">
        <v>10309254</v>
      </c>
      <c r="DQ503">
        <v>0</v>
      </c>
      <c r="DR503">
        <v>0</v>
      </c>
      <c r="DS503">
        <v>1</v>
      </c>
      <c r="DT503">
        <v>0</v>
      </c>
      <c r="DU503">
        <v>0</v>
      </c>
      <c r="DV503">
        <v>1</v>
      </c>
      <c r="DW503">
        <v>0</v>
      </c>
      <c r="DX503">
        <v>0</v>
      </c>
      <c r="DY503">
        <v>0</v>
      </c>
      <c r="DZ503">
        <v>0</v>
      </c>
      <c r="EA503">
        <v>0</v>
      </c>
    </row>
    <row r="504" spans="1:131" x14ac:dyDescent="0.35">
      <c r="A504" s="2" t="str">
        <f>"17:49:20.445"</f>
        <v>17:49:20.445</v>
      </c>
      <c r="B504" s="4">
        <f t="shared" si="79"/>
        <v>64160.445</v>
      </c>
      <c r="C504" s="4">
        <f t="shared" si="73"/>
        <v>560.44499999999971</v>
      </c>
      <c r="D504" s="3">
        <f t="shared" si="74"/>
        <v>0.74259774305555559</v>
      </c>
      <c r="E504" s="2">
        <f t="shared" si="75"/>
        <v>0.74259774305555559</v>
      </c>
      <c r="G504" t="str">
        <f t="shared" si="70"/>
        <v>FFDFD7C0</v>
      </c>
      <c r="H504" t="s">
        <v>126</v>
      </c>
      <c r="I504">
        <v>8</v>
      </c>
      <c r="J504">
        <v>1008</v>
      </c>
      <c r="K504" t="s">
        <v>129</v>
      </c>
      <c r="N504" t="s">
        <v>127</v>
      </c>
      <c r="O504">
        <v>0</v>
      </c>
      <c r="P504">
        <v>3</v>
      </c>
      <c r="Q504">
        <v>0</v>
      </c>
      <c r="R504">
        <v>2</v>
      </c>
      <c r="S504">
        <v>1</v>
      </c>
      <c r="T504">
        <v>0</v>
      </c>
      <c r="U504">
        <v>0</v>
      </c>
      <c r="W504" t="str">
        <f>"17:49:20.125"</f>
        <v>17:49:20.125</v>
      </c>
      <c r="X504" t="str">
        <f>"17:49:19.925"</f>
        <v>17:49:19.925</v>
      </c>
      <c r="Y504" t="str">
        <f t="shared" si="71"/>
        <v>A7C771</v>
      </c>
      <c r="Z504">
        <v>0</v>
      </c>
      <c r="AA504">
        <v>0</v>
      </c>
      <c r="AB504">
        <v>2</v>
      </c>
      <c r="AC504">
        <v>0</v>
      </c>
      <c r="AE504">
        <v>0</v>
      </c>
      <c r="AF504">
        <v>8</v>
      </c>
      <c r="AG504">
        <v>3</v>
      </c>
      <c r="AH504">
        <v>0</v>
      </c>
      <c r="AI504">
        <v>9</v>
      </c>
      <c r="AJ504" t="s">
        <v>125</v>
      </c>
      <c r="AK504">
        <v>0</v>
      </c>
      <c r="AL504">
        <v>3</v>
      </c>
      <c r="AM504">
        <v>2</v>
      </c>
      <c r="AN504">
        <v>1</v>
      </c>
      <c r="AO504" t="s">
        <v>1055</v>
      </c>
      <c r="AP504">
        <v>43.122839999999997</v>
      </c>
      <c r="AQ504" t="s">
        <v>1056</v>
      </c>
      <c r="AR504">
        <v>-77.597959000000003</v>
      </c>
      <c r="AS504">
        <v>25</v>
      </c>
      <c r="AT504">
        <v>1250</v>
      </c>
      <c r="AU504" t="s">
        <v>123</v>
      </c>
      <c r="AV504">
        <v>-113</v>
      </c>
      <c r="AW504">
        <v>34</v>
      </c>
      <c r="AX504">
        <v>-896</v>
      </c>
      <c r="AZ504">
        <f t="shared" si="76"/>
        <v>12769</v>
      </c>
      <c r="BA504">
        <f t="shared" si="77"/>
        <v>1156</v>
      </c>
      <c r="BB504" s="1">
        <f t="shared" si="78"/>
        <v>118.00423721205946</v>
      </c>
      <c r="BJ504">
        <v>1404</v>
      </c>
      <c r="BK504">
        <v>1</v>
      </c>
      <c r="BL504" t="str">
        <f t="shared" si="72"/>
        <v xml:space="preserve">N600C   </v>
      </c>
      <c r="BM504">
        <v>2</v>
      </c>
      <c r="BO504">
        <v>0</v>
      </c>
      <c r="BP504">
        <v>0</v>
      </c>
      <c r="BQ504">
        <v>0</v>
      </c>
      <c r="BR504">
        <v>1475</v>
      </c>
      <c r="BS504">
        <v>225</v>
      </c>
      <c r="BT504" t="s">
        <v>128</v>
      </c>
      <c r="BU504">
        <v>0</v>
      </c>
      <c r="BV504">
        <v>0</v>
      </c>
      <c r="BW504">
        <v>0</v>
      </c>
      <c r="BX504">
        <v>1</v>
      </c>
      <c r="CA504">
        <v>0</v>
      </c>
      <c r="CB504">
        <v>0</v>
      </c>
      <c r="CC504">
        <v>0</v>
      </c>
      <c r="CM504" t="str">
        <f>"17:49:20.127"</f>
        <v>17:49:20.127</v>
      </c>
      <c r="CN504">
        <v>127482997</v>
      </c>
      <c r="CQ504">
        <v>0</v>
      </c>
      <c r="CR504">
        <v>2016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3</v>
      </c>
      <c r="DB504">
        <v>2</v>
      </c>
      <c r="DC504">
        <v>0</v>
      </c>
      <c r="DD504">
        <v>2</v>
      </c>
      <c r="DE504">
        <v>0</v>
      </c>
      <c r="DF504">
        <v>7</v>
      </c>
      <c r="DG504">
        <v>7</v>
      </c>
      <c r="DH504" t="s">
        <v>124</v>
      </c>
      <c r="DI504">
        <v>407</v>
      </c>
      <c r="DJ504">
        <v>3</v>
      </c>
      <c r="DK504" t="s">
        <v>132</v>
      </c>
      <c r="DL504" t="s">
        <v>133</v>
      </c>
      <c r="DO504">
        <v>1780808</v>
      </c>
      <c r="DQ504">
        <v>0</v>
      </c>
      <c r="DR504">
        <v>0</v>
      </c>
      <c r="DS504">
        <v>1</v>
      </c>
      <c r="DT504">
        <v>0</v>
      </c>
      <c r="DU504">
        <v>0</v>
      </c>
      <c r="DV504">
        <v>1</v>
      </c>
      <c r="DW504">
        <v>0</v>
      </c>
      <c r="DX504">
        <v>0</v>
      </c>
      <c r="DY504">
        <v>0</v>
      </c>
      <c r="DZ504">
        <v>0</v>
      </c>
      <c r="EA504">
        <v>0</v>
      </c>
    </row>
    <row r="505" spans="1:131" x14ac:dyDescent="0.35">
      <c r="A505" s="2" t="str">
        <f>"17:49:21.210"</f>
        <v>17:49:21.210</v>
      </c>
      <c r="B505" s="4">
        <f t="shared" si="79"/>
        <v>64161.21</v>
      </c>
      <c r="C505" s="4">
        <f t="shared" si="73"/>
        <v>561.20999999999913</v>
      </c>
      <c r="D505" s="3">
        <f t="shared" si="74"/>
        <v>0.74260659722222222</v>
      </c>
      <c r="E505" s="2">
        <f t="shared" si="75"/>
        <v>0.74260659722222222</v>
      </c>
      <c r="G505" t="str">
        <f t="shared" si="70"/>
        <v>FFDFD7C0</v>
      </c>
      <c r="H505" t="s">
        <v>126</v>
      </c>
      <c r="I505">
        <v>8</v>
      </c>
      <c r="J505">
        <v>1008</v>
      </c>
      <c r="K505" t="s">
        <v>129</v>
      </c>
      <c r="N505" t="s">
        <v>127</v>
      </c>
      <c r="O505">
        <v>0</v>
      </c>
      <c r="P505">
        <v>3</v>
      </c>
      <c r="Q505">
        <v>0</v>
      </c>
      <c r="R505">
        <v>2</v>
      </c>
      <c r="S505">
        <v>1</v>
      </c>
      <c r="T505">
        <v>0</v>
      </c>
      <c r="U505">
        <v>0</v>
      </c>
      <c r="W505" t="str">
        <f>"17:49:20.945"</f>
        <v>17:49:20.945</v>
      </c>
      <c r="X505" t="str">
        <f>"17:49:20.845"</f>
        <v>17:49:20.845</v>
      </c>
      <c r="Y505" t="str">
        <f t="shared" si="71"/>
        <v>A7C771</v>
      </c>
      <c r="Z505">
        <v>0</v>
      </c>
      <c r="AA505">
        <v>0</v>
      </c>
      <c r="AB505">
        <v>2</v>
      </c>
      <c r="AC505">
        <v>0</v>
      </c>
      <c r="AE505">
        <v>0</v>
      </c>
      <c r="AF505">
        <v>8</v>
      </c>
      <c r="AG505">
        <v>3</v>
      </c>
      <c r="AH505">
        <v>0</v>
      </c>
      <c r="AI505">
        <v>9</v>
      </c>
      <c r="AJ505" t="s">
        <v>125</v>
      </c>
      <c r="AK505">
        <v>0</v>
      </c>
      <c r="AL505">
        <v>3</v>
      </c>
      <c r="AM505">
        <v>2</v>
      </c>
      <c r="AN505">
        <v>1</v>
      </c>
      <c r="AO505" t="s">
        <v>1057</v>
      </c>
      <c r="AP505">
        <v>43.122990000000001</v>
      </c>
      <c r="AQ505" t="s">
        <v>1058</v>
      </c>
      <c r="AR505">
        <v>-77.598538000000005</v>
      </c>
      <c r="AS505">
        <v>25</v>
      </c>
      <c r="AT505">
        <v>1225</v>
      </c>
      <c r="AU505" t="s">
        <v>123</v>
      </c>
      <c r="AV505">
        <v>-113</v>
      </c>
      <c r="AW505">
        <v>32</v>
      </c>
      <c r="AX505">
        <v>-896</v>
      </c>
      <c r="AZ505">
        <f t="shared" si="76"/>
        <v>12769</v>
      </c>
      <c r="BA505">
        <f t="shared" si="77"/>
        <v>1024</v>
      </c>
      <c r="BB505" s="1">
        <f t="shared" si="78"/>
        <v>117.44360348695028</v>
      </c>
      <c r="BJ505">
        <v>1404</v>
      </c>
      <c r="BK505">
        <v>1</v>
      </c>
      <c r="BL505" t="str">
        <f t="shared" si="72"/>
        <v xml:space="preserve">N600C   </v>
      </c>
      <c r="BM505">
        <v>2</v>
      </c>
      <c r="BO505">
        <v>0</v>
      </c>
      <c r="BP505">
        <v>0</v>
      </c>
      <c r="BQ505">
        <v>0</v>
      </c>
      <c r="BR505">
        <v>1450</v>
      </c>
      <c r="BS505">
        <v>225</v>
      </c>
      <c r="BT505" t="s">
        <v>128</v>
      </c>
      <c r="BU505">
        <v>0</v>
      </c>
      <c r="BV505">
        <v>0</v>
      </c>
      <c r="BW505">
        <v>0</v>
      </c>
      <c r="BX505">
        <v>1</v>
      </c>
      <c r="CA505">
        <v>0</v>
      </c>
      <c r="CB505">
        <v>0</v>
      </c>
      <c r="CC505">
        <v>0</v>
      </c>
      <c r="CM505" t="str">
        <f>"17:49:20.952"</f>
        <v>17:49:20.952</v>
      </c>
      <c r="CN505">
        <v>951629904</v>
      </c>
      <c r="CQ505">
        <v>0</v>
      </c>
      <c r="CR505">
        <v>2016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3</v>
      </c>
      <c r="DB505">
        <v>2</v>
      </c>
      <c r="DC505">
        <v>0</v>
      </c>
      <c r="DD505">
        <v>2</v>
      </c>
      <c r="DE505">
        <v>0</v>
      </c>
      <c r="DF505">
        <v>6</v>
      </c>
      <c r="DG505">
        <v>7</v>
      </c>
      <c r="DH505" t="s">
        <v>124</v>
      </c>
      <c r="DI505">
        <v>407</v>
      </c>
      <c r="DJ505">
        <v>3</v>
      </c>
      <c r="DK505" t="s">
        <v>132</v>
      </c>
      <c r="DL505" t="s">
        <v>133</v>
      </c>
      <c r="DO505">
        <v>1781608</v>
      </c>
      <c r="DQ505">
        <v>0</v>
      </c>
      <c r="DR505">
        <v>0</v>
      </c>
      <c r="DS505">
        <v>1</v>
      </c>
      <c r="DT505">
        <v>0</v>
      </c>
      <c r="DU505">
        <v>0</v>
      </c>
      <c r="DV505">
        <v>1</v>
      </c>
      <c r="DW505">
        <v>0</v>
      </c>
      <c r="DX505">
        <v>0</v>
      </c>
      <c r="DY505">
        <v>0</v>
      </c>
      <c r="DZ505">
        <v>0</v>
      </c>
      <c r="EA505">
        <v>0</v>
      </c>
    </row>
    <row r="506" spans="1:131" x14ac:dyDescent="0.35">
      <c r="A506" s="2" t="str">
        <f>"17:49:22.414"</f>
        <v>17:49:22.414</v>
      </c>
      <c r="B506" s="4">
        <f t="shared" si="79"/>
        <v>64162.41399999999</v>
      </c>
      <c r="C506" s="4">
        <f t="shared" si="73"/>
        <v>562.41399999998976</v>
      </c>
      <c r="D506" s="3">
        <f t="shared" si="74"/>
        <v>0.74262053240740733</v>
      </c>
      <c r="E506" s="2">
        <f t="shared" si="75"/>
        <v>0.74262053240740733</v>
      </c>
      <c r="G506" t="str">
        <f t="shared" si="70"/>
        <v>FFDFD7C0</v>
      </c>
      <c r="H506" t="s">
        <v>126</v>
      </c>
      <c r="I506">
        <v>8</v>
      </c>
      <c r="J506">
        <v>1008</v>
      </c>
      <c r="K506" t="s">
        <v>129</v>
      </c>
      <c r="N506" t="s">
        <v>127</v>
      </c>
      <c r="O506">
        <v>0</v>
      </c>
      <c r="P506">
        <v>3</v>
      </c>
      <c r="Q506">
        <v>0</v>
      </c>
      <c r="R506">
        <v>2</v>
      </c>
      <c r="S506">
        <v>1</v>
      </c>
      <c r="T506">
        <v>0</v>
      </c>
      <c r="U506">
        <v>0</v>
      </c>
      <c r="W506" t="str">
        <f>"17:49:22.125"</f>
        <v>17:49:22.125</v>
      </c>
      <c r="X506" t="str">
        <f>"17:49:21.925"</f>
        <v>17:49:21.925</v>
      </c>
      <c r="Y506" t="str">
        <f t="shared" si="71"/>
        <v>A7C771</v>
      </c>
      <c r="Z506">
        <v>0</v>
      </c>
      <c r="AA506">
        <v>0</v>
      </c>
      <c r="AB506">
        <v>2</v>
      </c>
      <c r="AC506">
        <v>0</v>
      </c>
      <c r="AE506">
        <v>0</v>
      </c>
      <c r="AF506">
        <v>8</v>
      </c>
      <c r="AG506">
        <v>3</v>
      </c>
      <c r="AH506">
        <v>0</v>
      </c>
      <c r="AI506">
        <v>9</v>
      </c>
      <c r="AJ506" t="s">
        <v>125</v>
      </c>
      <c r="AK506">
        <v>0</v>
      </c>
      <c r="AL506">
        <v>3</v>
      </c>
      <c r="AM506">
        <v>2</v>
      </c>
      <c r="AN506">
        <v>1</v>
      </c>
      <c r="AO506" t="s">
        <v>1059</v>
      </c>
      <c r="AP506">
        <v>43.123119000000003</v>
      </c>
      <c r="AQ506" t="s">
        <v>1060</v>
      </c>
      <c r="AR506">
        <v>-77.599374999999995</v>
      </c>
      <c r="AS506">
        <v>25</v>
      </c>
      <c r="AT506">
        <v>1200</v>
      </c>
      <c r="AU506" t="s">
        <v>123</v>
      </c>
      <c r="AV506">
        <v>-113</v>
      </c>
      <c r="AW506">
        <v>31</v>
      </c>
      <c r="AX506">
        <v>-832</v>
      </c>
      <c r="AZ506">
        <f t="shared" si="76"/>
        <v>12769</v>
      </c>
      <c r="BA506">
        <f t="shared" si="77"/>
        <v>961</v>
      </c>
      <c r="BB506" s="1">
        <f t="shared" si="78"/>
        <v>117.17508267545622</v>
      </c>
      <c r="BJ506">
        <v>1404</v>
      </c>
      <c r="BK506">
        <v>1</v>
      </c>
      <c r="BL506" t="str">
        <f t="shared" si="72"/>
        <v xml:space="preserve">N600C   </v>
      </c>
      <c r="BM506">
        <v>2</v>
      </c>
      <c r="BO506">
        <v>0</v>
      </c>
      <c r="BP506">
        <v>0</v>
      </c>
      <c r="BQ506">
        <v>0</v>
      </c>
      <c r="BR506">
        <v>1450</v>
      </c>
      <c r="BS506">
        <v>250</v>
      </c>
      <c r="BT506" t="s">
        <v>128</v>
      </c>
      <c r="BU506">
        <v>0</v>
      </c>
      <c r="BV506">
        <v>0</v>
      </c>
      <c r="BW506">
        <v>0</v>
      </c>
      <c r="BX506">
        <v>1</v>
      </c>
      <c r="CA506">
        <v>0</v>
      </c>
      <c r="CB506">
        <v>0</v>
      </c>
      <c r="CC506">
        <v>0</v>
      </c>
      <c r="CM506" t="str">
        <f>"17:49:22.128"</f>
        <v>17:49:22.128</v>
      </c>
      <c r="CN506">
        <v>127845158</v>
      </c>
      <c r="CQ506">
        <v>0</v>
      </c>
      <c r="CR506">
        <v>2016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3</v>
      </c>
      <c r="DB506">
        <v>2</v>
      </c>
      <c r="DC506">
        <v>0</v>
      </c>
      <c r="DD506">
        <v>2</v>
      </c>
      <c r="DE506">
        <v>0</v>
      </c>
      <c r="DF506">
        <v>6</v>
      </c>
      <c r="DG506">
        <v>7</v>
      </c>
      <c r="DH506" t="s">
        <v>124</v>
      </c>
      <c r="DI506">
        <v>407</v>
      </c>
      <c r="DJ506">
        <v>3</v>
      </c>
      <c r="DK506" t="s">
        <v>132</v>
      </c>
      <c r="DL506" t="s">
        <v>133</v>
      </c>
      <c r="DO506">
        <v>1782979</v>
      </c>
      <c r="DQ506">
        <v>0</v>
      </c>
      <c r="DR506">
        <v>0</v>
      </c>
      <c r="DS506">
        <v>1</v>
      </c>
      <c r="DT506">
        <v>0</v>
      </c>
      <c r="DU506">
        <v>0</v>
      </c>
      <c r="DV506">
        <v>1</v>
      </c>
      <c r="DW506">
        <v>0</v>
      </c>
      <c r="DX506">
        <v>0</v>
      </c>
      <c r="DY506">
        <v>0</v>
      </c>
      <c r="DZ506">
        <v>0</v>
      </c>
      <c r="EA506">
        <v>0</v>
      </c>
    </row>
    <row r="507" spans="1:131" x14ac:dyDescent="0.35">
      <c r="A507" s="2" t="str">
        <f>"17:49:23.554"</f>
        <v>17:49:23.554</v>
      </c>
      <c r="B507" s="4">
        <f t="shared" si="79"/>
        <v>64163.553999999996</v>
      </c>
      <c r="C507" s="4">
        <f t="shared" si="73"/>
        <v>563.55399999999645</v>
      </c>
      <c r="D507" s="3">
        <f t="shared" si="74"/>
        <v>0.74263372685185181</v>
      </c>
      <c r="E507" s="2">
        <f t="shared" si="75"/>
        <v>0.74263372685185181</v>
      </c>
      <c r="G507" t="str">
        <f t="shared" si="70"/>
        <v>FFDFD7C0</v>
      </c>
      <c r="H507" t="s">
        <v>126</v>
      </c>
      <c r="I507">
        <v>8</v>
      </c>
      <c r="J507">
        <v>1008</v>
      </c>
      <c r="K507" t="s">
        <v>129</v>
      </c>
      <c r="N507" t="s">
        <v>127</v>
      </c>
      <c r="O507">
        <v>0</v>
      </c>
      <c r="P507">
        <v>3</v>
      </c>
      <c r="Q507">
        <v>0</v>
      </c>
      <c r="R507">
        <v>2</v>
      </c>
      <c r="S507">
        <v>1</v>
      </c>
      <c r="T507">
        <v>0</v>
      </c>
      <c r="U507">
        <v>0</v>
      </c>
      <c r="W507" t="str">
        <f>"17:49:23.148"</f>
        <v>17:49:23.148</v>
      </c>
      <c r="X507" t="str">
        <f>"17:49:22.848"</f>
        <v>17:49:22.848</v>
      </c>
      <c r="Y507" t="str">
        <f t="shared" si="71"/>
        <v>A7C771</v>
      </c>
      <c r="Z507">
        <v>0</v>
      </c>
      <c r="AA507">
        <v>0</v>
      </c>
      <c r="AB507">
        <v>2</v>
      </c>
      <c r="AC507">
        <v>0</v>
      </c>
      <c r="AE507">
        <v>0</v>
      </c>
      <c r="AF507">
        <v>8</v>
      </c>
      <c r="AG507">
        <v>3</v>
      </c>
      <c r="AH507">
        <v>0</v>
      </c>
      <c r="AI507">
        <v>9</v>
      </c>
      <c r="AJ507" t="s">
        <v>125</v>
      </c>
      <c r="AK507">
        <v>0</v>
      </c>
      <c r="AL507">
        <v>3</v>
      </c>
      <c r="AM507">
        <v>2</v>
      </c>
      <c r="AN507">
        <v>1</v>
      </c>
      <c r="AO507" t="s">
        <v>1061</v>
      </c>
      <c r="AP507">
        <v>43.123269000000001</v>
      </c>
      <c r="AQ507" t="s">
        <v>1062</v>
      </c>
      <c r="AR507">
        <v>-77.600082999999998</v>
      </c>
      <c r="AS507">
        <v>25</v>
      </c>
      <c r="AT507">
        <v>1200</v>
      </c>
      <c r="AU507" t="s">
        <v>123</v>
      </c>
      <c r="AV507">
        <v>-112</v>
      </c>
      <c r="AW507">
        <v>29</v>
      </c>
      <c r="AX507">
        <v>-896</v>
      </c>
      <c r="AZ507">
        <f t="shared" si="76"/>
        <v>12544</v>
      </c>
      <c r="BA507">
        <f t="shared" si="77"/>
        <v>841</v>
      </c>
      <c r="BB507" s="1">
        <f t="shared" si="78"/>
        <v>115.69356075426151</v>
      </c>
      <c r="BJ507">
        <v>1404</v>
      </c>
      <c r="BK507">
        <v>1</v>
      </c>
      <c r="BL507" t="str">
        <f t="shared" si="72"/>
        <v xml:space="preserve">N600C   </v>
      </c>
      <c r="BM507">
        <v>2</v>
      </c>
      <c r="BO507">
        <v>0</v>
      </c>
      <c r="BP507">
        <v>0</v>
      </c>
      <c r="BQ507">
        <v>0</v>
      </c>
      <c r="BR507">
        <v>1425</v>
      </c>
      <c r="BS507">
        <v>225</v>
      </c>
      <c r="BT507" t="s">
        <v>128</v>
      </c>
      <c r="BU507">
        <v>0</v>
      </c>
      <c r="BV507">
        <v>0</v>
      </c>
      <c r="BW507">
        <v>0</v>
      </c>
      <c r="BX507">
        <v>1</v>
      </c>
      <c r="CA507">
        <v>0</v>
      </c>
      <c r="CB507">
        <v>0</v>
      </c>
      <c r="CC507">
        <v>0</v>
      </c>
      <c r="CM507" t="str">
        <f>"17:49:23.152"</f>
        <v>17:49:23.152</v>
      </c>
      <c r="CN507">
        <v>152020332</v>
      </c>
      <c r="CQ507">
        <v>0</v>
      </c>
      <c r="CR507">
        <v>2016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3</v>
      </c>
      <c r="DB507">
        <v>2</v>
      </c>
      <c r="DC507">
        <v>0</v>
      </c>
      <c r="DD507">
        <v>2</v>
      </c>
      <c r="DE507">
        <v>0</v>
      </c>
      <c r="DF507">
        <v>6</v>
      </c>
      <c r="DG507">
        <v>7</v>
      </c>
      <c r="DH507" t="s">
        <v>124</v>
      </c>
      <c r="DI507">
        <v>71</v>
      </c>
      <c r="DJ507">
        <v>0</v>
      </c>
      <c r="DK507" t="s">
        <v>134</v>
      </c>
      <c r="DL507" t="s">
        <v>135</v>
      </c>
      <c r="DO507">
        <v>10312233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1</v>
      </c>
      <c r="DW507">
        <v>0</v>
      </c>
      <c r="DX507">
        <v>0</v>
      </c>
      <c r="DY507">
        <v>0</v>
      </c>
      <c r="DZ507">
        <v>0</v>
      </c>
      <c r="EA507">
        <v>0</v>
      </c>
    </row>
    <row r="508" spans="1:131" x14ac:dyDescent="0.35">
      <c r="A508" s="2" t="str">
        <f>"17:49:24.586"</f>
        <v>17:49:24.586</v>
      </c>
      <c r="B508" s="4">
        <f t="shared" si="79"/>
        <v>64164.586000000003</v>
      </c>
      <c r="C508" s="4">
        <f t="shared" si="73"/>
        <v>564.58600000000297</v>
      </c>
      <c r="D508" s="3">
        <f t="shared" si="74"/>
        <v>0.74264567129629633</v>
      </c>
      <c r="E508" s="2">
        <f t="shared" si="75"/>
        <v>0.74264567129629633</v>
      </c>
      <c r="G508" t="str">
        <f t="shared" si="70"/>
        <v>FFDFD7C0</v>
      </c>
      <c r="H508" t="s">
        <v>126</v>
      </c>
      <c r="I508">
        <v>8</v>
      </c>
      <c r="J508">
        <v>1008</v>
      </c>
      <c r="K508" t="s">
        <v>129</v>
      </c>
      <c r="N508" t="s">
        <v>127</v>
      </c>
      <c r="O508">
        <v>0</v>
      </c>
      <c r="P508">
        <v>3</v>
      </c>
      <c r="Q508">
        <v>0</v>
      </c>
      <c r="R508">
        <v>2</v>
      </c>
      <c r="S508">
        <v>1</v>
      </c>
      <c r="T508">
        <v>0</v>
      </c>
      <c r="U508">
        <v>0</v>
      </c>
      <c r="W508" t="str">
        <f>"17:49:24.273"</f>
        <v>17:49:24.273</v>
      </c>
      <c r="X508" t="str">
        <f>"17:49:24.273"</f>
        <v>17:49:24.273</v>
      </c>
      <c r="Y508" t="str">
        <f t="shared" si="71"/>
        <v>A7C771</v>
      </c>
      <c r="Z508">
        <v>0</v>
      </c>
      <c r="AA508">
        <v>0</v>
      </c>
      <c r="AB508">
        <v>2</v>
      </c>
      <c r="AC508">
        <v>0</v>
      </c>
      <c r="AE508">
        <v>0</v>
      </c>
      <c r="AF508">
        <v>8</v>
      </c>
      <c r="AG508">
        <v>3</v>
      </c>
      <c r="AH508">
        <v>0</v>
      </c>
      <c r="AI508">
        <v>9</v>
      </c>
      <c r="AJ508" t="s">
        <v>125</v>
      </c>
      <c r="AK508">
        <v>0</v>
      </c>
      <c r="AL508">
        <v>3</v>
      </c>
      <c r="AM508">
        <v>2</v>
      </c>
      <c r="AN508">
        <v>1</v>
      </c>
      <c r="AO508" t="s">
        <v>1063</v>
      </c>
      <c r="AP508">
        <v>43.123441</v>
      </c>
      <c r="AQ508" t="s">
        <v>1064</v>
      </c>
      <c r="AR508">
        <v>-77.600876999999997</v>
      </c>
      <c r="AS508">
        <v>25</v>
      </c>
      <c r="AT508">
        <v>1175</v>
      </c>
      <c r="AU508" t="s">
        <v>123</v>
      </c>
      <c r="AV508">
        <v>-112</v>
      </c>
      <c r="AW508">
        <v>26</v>
      </c>
      <c r="AX508">
        <v>-832</v>
      </c>
      <c r="AZ508">
        <f t="shared" si="76"/>
        <v>12544</v>
      </c>
      <c r="BA508">
        <f t="shared" si="77"/>
        <v>676</v>
      </c>
      <c r="BB508" s="1">
        <f t="shared" si="78"/>
        <v>114.97825881443848</v>
      </c>
      <c r="BJ508">
        <v>1404</v>
      </c>
      <c r="BK508">
        <v>1</v>
      </c>
      <c r="BL508" t="str">
        <f t="shared" si="72"/>
        <v xml:space="preserve">N600C   </v>
      </c>
      <c r="BM508">
        <v>2</v>
      </c>
      <c r="BO508">
        <v>0</v>
      </c>
      <c r="BP508">
        <v>0</v>
      </c>
      <c r="BQ508">
        <v>0</v>
      </c>
      <c r="BR508">
        <v>1400</v>
      </c>
      <c r="BS508">
        <v>225</v>
      </c>
      <c r="BT508" t="s">
        <v>128</v>
      </c>
      <c r="BU508">
        <v>0</v>
      </c>
      <c r="BV508">
        <v>0</v>
      </c>
      <c r="BW508">
        <v>0</v>
      </c>
      <c r="BX508">
        <v>0</v>
      </c>
      <c r="CA508">
        <v>0</v>
      </c>
      <c r="CB508">
        <v>0</v>
      </c>
      <c r="CC508">
        <v>0</v>
      </c>
      <c r="CM508" t="str">
        <f>"17:49:24.280"</f>
        <v>17:49:24.280</v>
      </c>
      <c r="CN508">
        <v>280223631</v>
      </c>
      <c r="CQ508">
        <v>0</v>
      </c>
      <c r="CR508">
        <v>2016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3</v>
      </c>
      <c r="DB508">
        <v>2</v>
      </c>
      <c r="DC508">
        <v>0</v>
      </c>
      <c r="DD508">
        <v>2</v>
      </c>
      <c r="DE508">
        <v>0</v>
      </c>
      <c r="DF508">
        <v>6</v>
      </c>
      <c r="DG508">
        <v>7</v>
      </c>
      <c r="DH508" t="s">
        <v>124</v>
      </c>
      <c r="DI508">
        <v>71</v>
      </c>
      <c r="DJ508">
        <v>0</v>
      </c>
      <c r="DK508" t="s">
        <v>134</v>
      </c>
      <c r="DL508" t="s">
        <v>135</v>
      </c>
      <c r="DO508">
        <v>10313001</v>
      </c>
      <c r="DQ508">
        <v>0</v>
      </c>
      <c r="DR508">
        <v>0</v>
      </c>
      <c r="DS508">
        <v>1</v>
      </c>
      <c r="DT508">
        <v>0</v>
      </c>
      <c r="DU508">
        <v>0</v>
      </c>
      <c r="DV508">
        <v>1</v>
      </c>
      <c r="DW508">
        <v>0</v>
      </c>
      <c r="DX508">
        <v>0</v>
      </c>
      <c r="DY508">
        <v>0</v>
      </c>
      <c r="DZ508">
        <v>0</v>
      </c>
      <c r="EA508">
        <v>0</v>
      </c>
    </row>
    <row r="509" spans="1:131" x14ac:dyDescent="0.35">
      <c r="A509" s="2" t="str">
        <f>"17:49:25.570"</f>
        <v>17:49:25.570</v>
      </c>
      <c r="B509" s="4">
        <f t="shared" si="79"/>
        <v>64165.57</v>
      </c>
      <c r="C509" s="4">
        <f t="shared" si="73"/>
        <v>565.56999999999971</v>
      </c>
      <c r="D509" s="3">
        <f t="shared" si="74"/>
        <v>0.74265706018518518</v>
      </c>
      <c r="E509" s="2">
        <f t="shared" si="75"/>
        <v>0.74265706018518518</v>
      </c>
      <c r="G509" t="str">
        <f t="shared" si="70"/>
        <v>FFDFD7C0</v>
      </c>
      <c r="H509" t="s">
        <v>126</v>
      </c>
      <c r="I509">
        <v>8</v>
      </c>
      <c r="J509">
        <v>1008</v>
      </c>
      <c r="K509" t="s">
        <v>129</v>
      </c>
      <c r="N509" t="s">
        <v>127</v>
      </c>
      <c r="O509">
        <v>0</v>
      </c>
      <c r="P509">
        <v>3</v>
      </c>
      <c r="Q509">
        <v>0</v>
      </c>
      <c r="R509">
        <v>2</v>
      </c>
      <c r="S509">
        <v>1</v>
      </c>
      <c r="T509">
        <v>0</v>
      </c>
      <c r="U509">
        <v>0</v>
      </c>
      <c r="W509" t="str">
        <f>"17:49:25.234"</f>
        <v>17:49:25.234</v>
      </c>
      <c r="X509" t="str">
        <f>"17:49:24.834"</f>
        <v>17:49:24.834</v>
      </c>
      <c r="Y509" t="str">
        <f t="shared" si="71"/>
        <v>A7C771</v>
      </c>
      <c r="Z509">
        <v>0</v>
      </c>
      <c r="AA509">
        <v>0</v>
      </c>
      <c r="AB509">
        <v>2</v>
      </c>
      <c r="AC509">
        <v>0</v>
      </c>
      <c r="AE509">
        <v>0</v>
      </c>
      <c r="AF509">
        <v>8</v>
      </c>
      <c r="AG509">
        <v>3</v>
      </c>
      <c r="AH509">
        <v>0</v>
      </c>
      <c r="AI509">
        <v>9</v>
      </c>
      <c r="AJ509" t="s">
        <v>125</v>
      </c>
      <c r="AK509">
        <v>0</v>
      </c>
      <c r="AL509">
        <v>3</v>
      </c>
      <c r="AM509">
        <v>2</v>
      </c>
      <c r="AN509">
        <v>1</v>
      </c>
      <c r="AO509" t="s">
        <v>1065</v>
      </c>
      <c r="AP509">
        <v>43.123527000000003</v>
      </c>
      <c r="AQ509" t="s">
        <v>1066</v>
      </c>
      <c r="AR509">
        <v>-77.601541999999995</v>
      </c>
      <c r="AS509">
        <v>25</v>
      </c>
      <c r="AT509">
        <v>1150</v>
      </c>
      <c r="AU509" t="s">
        <v>123</v>
      </c>
      <c r="AV509">
        <v>-112</v>
      </c>
      <c r="AW509">
        <v>26</v>
      </c>
      <c r="AX509">
        <v>-832</v>
      </c>
      <c r="AZ509">
        <f t="shared" si="76"/>
        <v>12544</v>
      </c>
      <c r="BA509">
        <f t="shared" si="77"/>
        <v>676</v>
      </c>
      <c r="BB509" s="1">
        <f t="shared" si="78"/>
        <v>114.97825881443848</v>
      </c>
      <c r="BJ509">
        <v>1404</v>
      </c>
      <c r="BK509">
        <v>1</v>
      </c>
      <c r="BL509" t="str">
        <f t="shared" si="72"/>
        <v xml:space="preserve">N600C   </v>
      </c>
      <c r="BM509">
        <v>2</v>
      </c>
      <c r="BO509">
        <v>0</v>
      </c>
      <c r="BP509">
        <v>0</v>
      </c>
      <c r="BQ509">
        <v>0</v>
      </c>
      <c r="BR509">
        <v>1400</v>
      </c>
      <c r="BS509">
        <v>250</v>
      </c>
      <c r="BT509" t="s">
        <v>128</v>
      </c>
      <c r="BU509">
        <v>0</v>
      </c>
      <c r="BV509">
        <v>0</v>
      </c>
      <c r="BW509">
        <v>0</v>
      </c>
      <c r="BX509">
        <v>0</v>
      </c>
      <c r="CA509">
        <v>0</v>
      </c>
      <c r="CB509">
        <v>0</v>
      </c>
      <c r="CC509">
        <v>0</v>
      </c>
      <c r="CM509" t="str">
        <f>"17:49:25.240"</f>
        <v>17:49:25.240</v>
      </c>
      <c r="CN509">
        <v>240407182</v>
      </c>
      <c r="CQ509">
        <v>0</v>
      </c>
      <c r="CR509">
        <v>2016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3</v>
      </c>
      <c r="DB509">
        <v>2</v>
      </c>
      <c r="DC509">
        <v>0</v>
      </c>
      <c r="DD509">
        <v>2</v>
      </c>
      <c r="DE509">
        <v>0</v>
      </c>
      <c r="DF509">
        <v>6</v>
      </c>
      <c r="DG509">
        <v>7</v>
      </c>
      <c r="DH509" t="s">
        <v>124</v>
      </c>
      <c r="DI509">
        <v>71</v>
      </c>
      <c r="DJ509">
        <v>0</v>
      </c>
      <c r="DK509" t="s">
        <v>134</v>
      </c>
      <c r="DL509" t="s">
        <v>135</v>
      </c>
      <c r="DO509">
        <v>10313687</v>
      </c>
      <c r="DQ509">
        <v>0</v>
      </c>
      <c r="DR509">
        <v>0</v>
      </c>
      <c r="DS509">
        <v>1</v>
      </c>
      <c r="DT509">
        <v>0</v>
      </c>
      <c r="DU509">
        <v>0</v>
      </c>
      <c r="DV509">
        <v>1</v>
      </c>
      <c r="DW509">
        <v>0</v>
      </c>
      <c r="DX509">
        <v>0</v>
      </c>
      <c r="DY509">
        <v>0</v>
      </c>
      <c r="DZ509">
        <v>0</v>
      </c>
      <c r="EA509">
        <v>0</v>
      </c>
    </row>
    <row r="510" spans="1:131" x14ac:dyDescent="0.35">
      <c r="A510" s="2" t="str">
        <f>"17:49:26.602"</f>
        <v>17:49:26.602</v>
      </c>
      <c r="B510" s="4">
        <f t="shared" si="79"/>
        <v>64166.601999999999</v>
      </c>
      <c r="C510" s="4">
        <f t="shared" si="73"/>
        <v>566.60199999999895</v>
      </c>
      <c r="D510" s="3">
        <f t="shared" si="74"/>
        <v>0.74266900462962959</v>
      </c>
      <c r="E510" s="2">
        <f t="shared" si="75"/>
        <v>0.74266900462962959</v>
      </c>
      <c r="G510" t="str">
        <f t="shared" si="70"/>
        <v>FFDFD7C0</v>
      </c>
      <c r="H510" t="s">
        <v>126</v>
      </c>
      <c r="I510">
        <v>8</v>
      </c>
      <c r="J510">
        <v>1008</v>
      </c>
      <c r="K510" t="s">
        <v>129</v>
      </c>
      <c r="N510" t="s">
        <v>127</v>
      </c>
      <c r="O510">
        <v>0</v>
      </c>
      <c r="P510">
        <v>3</v>
      </c>
      <c r="Q510">
        <v>0</v>
      </c>
      <c r="R510">
        <v>2</v>
      </c>
      <c r="S510">
        <v>1</v>
      </c>
      <c r="T510">
        <v>0</v>
      </c>
      <c r="U510">
        <v>0</v>
      </c>
      <c r="W510" t="str">
        <f>"17:49:26.375"</f>
        <v>17:49:26.375</v>
      </c>
      <c r="X510" t="str">
        <f>"17:49:25.975"</f>
        <v>17:49:25.975</v>
      </c>
      <c r="Y510" t="str">
        <f t="shared" si="71"/>
        <v>A7C771</v>
      </c>
      <c r="Z510">
        <v>0</v>
      </c>
      <c r="AA510">
        <v>0</v>
      </c>
      <c r="AB510">
        <v>2</v>
      </c>
      <c r="AC510">
        <v>0</v>
      </c>
      <c r="AE510">
        <v>0</v>
      </c>
      <c r="AF510">
        <v>8</v>
      </c>
      <c r="AG510">
        <v>3</v>
      </c>
      <c r="AH510">
        <v>0</v>
      </c>
      <c r="AI510">
        <v>9</v>
      </c>
      <c r="AJ510" t="s">
        <v>125</v>
      </c>
      <c r="AK510">
        <v>0</v>
      </c>
      <c r="AL510">
        <v>3</v>
      </c>
      <c r="AM510">
        <v>2</v>
      </c>
      <c r="AN510">
        <v>1</v>
      </c>
      <c r="AO510" t="s">
        <v>1067</v>
      </c>
      <c r="AP510">
        <v>43.123677000000001</v>
      </c>
      <c r="AQ510" t="s">
        <v>1068</v>
      </c>
      <c r="AR510">
        <v>-77.602315000000004</v>
      </c>
      <c r="AS510">
        <v>25</v>
      </c>
      <c r="AT510">
        <v>1150</v>
      </c>
      <c r="AU510" t="s">
        <v>123</v>
      </c>
      <c r="AV510">
        <v>-112</v>
      </c>
      <c r="AW510">
        <v>25</v>
      </c>
      <c r="AX510">
        <v>-832</v>
      </c>
      <c r="AZ510">
        <f t="shared" si="76"/>
        <v>12544</v>
      </c>
      <c r="BA510">
        <f t="shared" si="77"/>
        <v>625</v>
      </c>
      <c r="BB510" s="1">
        <f t="shared" si="78"/>
        <v>114.75626344561765</v>
      </c>
      <c r="BJ510">
        <v>1404</v>
      </c>
      <c r="BK510">
        <v>1</v>
      </c>
      <c r="BL510" t="str">
        <f t="shared" si="72"/>
        <v xml:space="preserve">N600C   </v>
      </c>
      <c r="BM510">
        <v>2</v>
      </c>
      <c r="BO510">
        <v>0</v>
      </c>
      <c r="BP510">
        <v>0</v>
      </c>
      <c r="BQ510">
        <v>0</v>
      </c>
      <c r="BR510">
        <v>1375</v>
      </c>
      <c r="BS510">
        <v>225</v>
      </c>
      <c r="BT510" t="s">
        <v>128</v>
      </c>
      <c r="BU510">
        <v>0</v>
      </c>
      <c r="BV510">
        <v>0</v>
      </c>
      <c r="BW510">
        <v>0</v>
      </c>
      <c r="BX510">
        <v>0</v>
      </c>
      <c r="CA510">
        <v>0</v>
      </c>
      <c r="CB510">
        <v>0</v>
      </c>
      <c r="CC510">
        <v>0</v>
      </c>
      <c r="CM510" t="str">
        <f>"17:49:26.377"</f>
        <v>17:49:26.377</v>
      </c>
      <c r="CN510">
        <v>376618437</v>
      </c>
      <c r="CQ510">
        <v>0</v>
      </c>
      <c r="CR510">
        <v>2016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3</v>
      </c>
      <c r="DB510">
        <v>2</v>
      </c>
      <c r="DC510">
        <v>0</v>
      </c>
      <c r="DD510">
        <v>2</v>
      </c>
      <c r="DE510">
        <v>0</v>
      </c>
      <c r="DF510">
        <v>6</v>
      </c>
      <c r="DG510">
        <v>7</v>
      </c>
      <c r="DH510" t="s">
        <v>124</v>
      </c>
      <c r="DI510">
        <v>407</v>
      </c>
      <c r="DJ510">
        <v>3</v>
      </c>
      <c r="DK510" t="s">
        <v>132</v>
      </c>
      <c r="DL510" t="s">
        <v>133</v>
      </c>
      <c r="DO510">
        <v>1787247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1</v>
      </c>
      <c r="DW510">
        <v>0</v>
      </c>
      <c r="DX510">
        <v>0</v>
      </c>
      <c r="DY510">
        <v>0</v>
      </c>
      <c r="DZ510">
        <v>0</v>
      </c>
      <c r="EA510">
        <v>0</v>
      </c>
    </row>
    <row r="511" spans="1:131" x14ac:dyDescent="0.35">
      <c r="A511" s="2" t="str">
        <f>"17:49:27.805"</f>
        <v>17:49:27.805</v>
      </c>
      <c r="B511" s="4">
        <f t="shared" si="79"/>
        <v>64167.805</v>
      </c>
      <c r="C511" s="4">
        <f t="shared" si="73"/>
        <v>567.80500000000029</v>
      </c>
      <c r="D511" s="3">
        <f t="shared" si="74"/>
        <v>0.74268292824074078</v>
      </c>
      <c r="E511" s="2">
        <f t="shared" si="75"/>
        <v>0.74268292824074078</v>
      </c>
      <c r="G511" t="str">
        <f t="shared" si="70"/>
        <v>FFDFD7C0</v>
      </c>
      <c r="H511" t="s">
        <v>126</v>
      </c>
      <c r="I511">
        <v>8</v>
      </c>
      <c r="J511">
        <v>1008</v>
      </c>
      <c r="K511" t="s">
        <v>129</v>
      </c>
      <c r="N511" t="s">
        <v>127</v>
      </c>
      <c r="O511">
        <v>0</v>
      </c>
      <c r="P511">
        <v>3</v>
      </c>
      <c r="Q511">
        <v>0</v>
      </c>
      <c r="R511">
        <v>2</v>
      </c>
      <c r="S511">
        <v>1</v>
      </c>
      <c r="T511">
        <v>0</v>
      </c>
      <c r="U511">
        <v>0</v>
      </c>
      <c r="W511" t="str">
        <f>"17:49:27.422"</f>
        <v>17:49:27.422</v>
      </c>
      <c r="X511" t="str">
        <f>"17:49:27.422"</f>
        <v>17:49:27.422</v>
      </c>
      <c r="Y511" t="str">
        <f t="shared" si="71"/>
        <v>A7C771</v>
      </c>
      <c r="Z511">
        <v>0</v>
      </c>
      <c r="AA511">
        <v>0</v>
      </c>
      <c r="AB511">
        <v>2</v>
      </c>
      <c r="AC511">
        <v>0</v>
      </c>
      <c r="AE511">
        <v>0</v>
      </c>
      <c r="AF511">
        <v>8</v>
      </c>
      <c r="AG511">
        <v>3</v>
      </c>
      <c r="AH511">
        <v>0</v>
      </c>
      <c r="AI511">
        <v>9</v>
      </c>
      <c r="AJ511" t="s">
        <v>125</v>
      </c>
      <c r="AK511">
        <v>0</v>
      </c>
      <c r="AL511">
        <v>3</v>
      </c>
      <c r="AM511">
        <v>2</v>
      </c>
      <c r="AN511">
        <v>1</v>
      </c>
      <c r="AO511" t="s">
        <v>1069</v>
      </c>
      <c r="AP511">
        <v>43.123762999999997</v>
      </c>
      <c r="AQ511" t="s">
        <v>1070</v>
      </c>
      <c r="AR511">
        <v>-77.603022999999993</v>
      </c>
      <c r="AS511">
        <v>25</v>
      </c>
      <c r="AT511">
        <v>1125</v>
      </c>
      <c r="AU511" t="s">
        <v>123</v>
      </c>
      <c r="AV511">
        <v>-111</v>
      </c>
      <c r="AW511">
        <v>23</v>
      </c>
      <c r="AX511">
        <v>-896</v>
      </c>
      <c r="AZ511">
        <f t="shared" si="76"/>
        <v>12321</v>
      </c>
      <c r="BA511">
        <f t="shared" si="77"/>
        <v>529</v>
      </c>
      <c r="BB511" s="1">
        <f t="shared" si="78"/>
        <v>113.35784048754634</v>
      </c>
      <c r="BJ511">
        <v>1404</v>
      </c>
      <c r="BK511">
        <v>1</v>
      </c>
      <c r="BL511" t="str">
        <f t="shared" si="72"/>
        <v xml:space="preserve">N600C   </v>
      </c>
      <c r="BM511">
        <v>2</v>
      </c>
      <c r="BO511">
        <v>0</v>
      </c>
      <c r="BP511">
        <v>0</v>
      </c>
      <c r="BQ511">
        <v>0</v>
      </c>
      <c r="BR511">
        <v>1350</v>
      </c>
      <c r="BS511">
        <v>225</v>
      </c>
      <c r="BT511" t="s">
        <v>128</v>
      </c>
      <c r="BU511">
        <v>0</v>
      </c>
      <c r="BV511">
        <v>0</v>
      </c>
      <c r="BW511">
        <v>0</v>
      </c>
      <c r="BX511">
        <v>0</v>
      </c>
      <c r="CA511">
        <v>0</v>
      </c>
      <c r="CB511">
        <v>0</v>
      </c>
      <c r="CC511">
        <v>0</v>
      </c>
      <c r="CM511" t="str">
        <f>"17:49:27.425"</f>
        <v>17:49:27.425</v>
      </c>
      <c r="CN511">
        <v>424800456</v>
      </c>
      <c r="CQ511">
        <v>0</v>
      </c>
      <c r="CR511">
        <v>2016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3</v>
      </c>
      <c r="DB511">
        <v>2</v>
      </c>
      <c r="DC511">
        <v>0</v>
      </c>
      <c r="DD511">
        <v>2</v>
      </c>
      <c r="DE511">
        <v>0</v>
      </c>
      <c r="DF511">
        <v>6</v>
      </c>
      <c r="DG511">
        <v>7</v>
      </c>
      <c r="DH511" t="s">
        <v>124</v>
      </c>
      <c r="DI511">
        <v>71</v>
      </c>
      <c r="DJ511">
        <v>1</v>
      </c>
      <c r="DK511" t="s">
        <v>134</v>
      </c>
      <c r="DL511" t="s">
        <v>135</v>
      </c>
      <c r="DO511">
        <v>11688205</v>
      </c>
      <c r="DQ511">
        <v>0</v>
      </c>
      <c r="DR511">
        <v>0</v>
      </c>
      <c r="DS511">
        <v>1</v>
      </c>
      <c r="DT511">
        <v>0</v>
      </c>
      <c r="DU511">
        <v>0</v>
      </c>
      <c r="DV511">
        <v>1</v>
      </c>
      <c r="DW511">
        <v>0</v>
      </c>
      <c r="DX511">
        <v>0</v>
      </c>
      <c r="DY511">
        <v>0</v>
      </c>
      <c r="DZ511">
        <v>0</v>
      </c>
      <c r="EA511">
        <v>0</v>
      </c>
    </row>
    <row r="512" spans="1:131" x14ac:dyDescent="0.35">
      <c r="A512" s="2" t="str">
        <f>"17:49:28.711"</f>
        <v>17:49:28.711</v>
      </c>
      <c r="B512" s="4">
        <f t="shared" si="79"/>
        <v>64168.711000000003</v>
      </c>
      <c r="C512" s="4">
        <f t="shared" si="73"/>
        <v>568.71100000000297</v>
      </c>
      <c r="D512" s="3">
        <f t="shared" si="74"/>
        <v>0.74269341435185188</v>
      </c>
      <c r="E512" s="2">
        <f t="shared" si="75"/>
        <v>0.74269341435185188</v>
      </c>
      <c r="G512" t="str">
        <f t="shared" si="70"/>
        <v>FFDFD7C0</v>
      </c>
      <c r="H512" t="s">
        <v>126</v>
      </c>
      <c r="I512">
        <v>8</v>
      </c>
      <c r="J512">
        <v>1008</v>
      </c>
      <c r="K512" t="s">
        <v>129</v>
      </c>
      <c r="N512" t="s">
        <v>127</v>
      </c>
      <c r="O512">
        <v>0</v>
      </c>
      <c r="P512">
        <v>3</v>
      </c>
      <c r="Q512">
        <v>0</v>
      </c>
      <c r="R512">
        <v>2</v>
      </c>
      <c r="S512">
        <v>1</v>
      </c>
      <c r="T512">
        <v>0</v>
      </c>
      <c r="U512">
        <v>0</v>
      </c>
      <c r="W512" t="str">
        <f>"17:49:28.484"</f>
        <v>17:49:28.484</v>
      </c>
      <c r="X512" t="str">
        <f>"17:49:28.384"</f>
        <v>17:49:28.384</v>
      </c>
      <c r="Y512" t="str">
        <f t="shared" si="71"/>
        <v>A7C771</v>
      </c>
      <c r="Z512">
        <v>0</v>
      </c>
      <c r="AA512">
        <v>0</v>
      </c>
      <c r="AB512">
        <v>2</v>
      </c>
      <c r="AC512">
        <v>0</v>
      </c>
      <c r="AE512">
        <v>0</v>
      </c>
      <c r="AF512">
        <v>8</v>
      </c>
      <c r="AG512">
        <v>3</v>
      </c>
      <c r="AH512">
        <v>0</v>
      </c>
      <c r="AI512">
        <v>9</v>
      </c>
      <c r="AJ512" t="s">
        <v>125</v>
      </c>
      <c r="AK512">
        <v>0</v>
      </c>
      <c r="AL512">
        <v>3</v>
      </c>
      <c r="AM512">
        <v>2</v>
      </c>
      <c r="AN512">
        <v>1</v>
      </c>
      <c r="AO512" t="s">
        <v>1071</v>
      </c>
      <c r="AP512">
        <v>43.123848000000002</v>
      </c>
      <c r="AQ512" t="s">
        <v>1072</v>
      </c>
      <c r="AR512">
        <v>-77.603817000000006</v>
      </c>
      <c r="AS512">
        <v>25</v>
      </c>
      <c r="AT512">
        <v>1100</v>
      </c>
      <c r="AU512" t="s">
        <v>123</v>
      </c>
      <c r="AV512">
        <v>-111</v>
      </c>
      <c r="AW512">
        <v>21</v>
      </c>
      <c r="AX512">
        <v>-896</v>
      </c>
      <c r="AZ512">
        <f t="shared" si="76"/>
        <v>12321</v>
      </c>
      <c r="BA512">
        <f t="shared" si="77"/>
        <v>441</v>
      </c>
      <c r="BB512" s="1">
        <f t="shared" si="78"/>
        <v>112.96902230257638</v>
      </c>
      <c r="BJ512">
        <v>1404</v>
      </c>
      <c r="BK512">
        <v>1</v>
      </c>
      <c r="BL512" t="str">
        <f t="shared" si="72"/>
        <v xml:space="preserve">N600C   </v>
      </c>
      <c r="BM512">
        <v>2</v>
      </c>
      <c r="BO512">
        <v>0</v>
      </c>
      <c r="BP512">
        <v>0</v>
      </c>
      <c r="BQ512">
        <v>0</v>
      </c>
      <c r="BR512">
        <v>1350</v>
      </c>
      <c r="BS512">
        <v>250</v>
      </c>
      <c r="BT512" t="s">
        <v>128</v>
      </c>
      <c r="BU512">
        <v>0</v>
      </c>
      <c r="BV512">
        <v>0</v>
      </c>
      <c r="BW512">
        <v>0</v>
      </c>
      <c r="BX512">
        <v>0</v>
      </c>
      <c r="CA512">
        <v>0</v>
      </c>
      <c r="CB512">
        <v>0</v>
      </c>
      <c r="CC512">
        <v>0</v>
      </c>
      <c r="CM512" t="str">
        <f>"17:49:28.489"</f>
        <v>17:49:28.489</v>
      </c>
      <c r="CN512">
        <v>488989308</v>
      </c>
      <c r="CQ512">
        <v>0</v>
      </c>
      <c r="CR512">
        <v>2016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3</v>
      </c>
      <c r="DB512">
        <v>2</v>
      </c>
      <c r="DC512">
        <v>0</v>
      </c>
      <c r="DD512">
        <v>2</v>
      </c>
      <c r="DE512">
        <v>0</v>
      </c>
      <c r="DF512">
        <v>6</v>
      </c>
      <c r="DG512">
        <v>7</v>
      </c>
      <c r="DH512" t="s">
        <v>124</v>
      </c>
      <c r="DI512">
        <v>71</v>
      </c>
      <c r="DJ512">
        <v>0</v>
      </c>
      <c r="DK512" t="s">
        <v>134</v>
      </c>
      <c r="DL512" t="s">
        <v>135</v>
      </c>
      <c r="DO512">
        <v>10316100</v>
      </c>
      <c r="DQ512">
        <v>0</v>
      </c>
      <c r="DR512">
        <v>0</v>
      </c>
      <c r="DS512">
        <v>1</v>
      </c>
      <c r="DT512">
        <v>0</v>
      </c>
      <c r="DU512">
        <v>0</v>
      </c>
      <c r="DV512">
        <v>1</v>
      </c>
      <c r="DW512">
        <v>0</v>
      </c>
      <c r="DX512">
        <v>0</v>
      </c>
      <c r="DY512">
        <v>0</v>
      </c>
      <c r="DZ512">
        <v>0</v>
      </c>
      <c r="EA512">
        <v>0</v>
      </c>
    </row>
    <row r="513" spans="1:131" x14ac:dyDescent="0.35">
      <c r="A513" s="2" t="str">
        <f>"17:49:29.726"</f>
        <v>17:49:29.726</v>
      </c>
      <c r="B513" s="4">
        <f t="shared" si="79"/>
        <v>64169.726000000002</v>
      </c>
      <c r="C513" s="4">
        <f t="shared" si="73"/>
        <v>569.72600000000239</v>
      </c>
      <c r="D513" s="3">
        <f t="shared" si="74"/>
        <v>0.74270516203703707</v>
      </c>
      <c r="E513" s="2">
        <f t="shared" si="75"/>
        <v>0.74270516203703707</v>
      </c>
      <c r="G513" t="str">
        <f t="shared" si="70"/>
        <v>FFDFD7C0</v>
      </c>
      <c r="H513" t="s">
        <v>126</v>
      </c>
      <c r="I513">
        <v>8</v>
      </c>
      <c r="J513">
        <v>1008</v>
      </c>
      <c r="K513" t="s">
        <v>129</v>
      </c>
      <c r="N513" t="s">
        <v>127</v>
      </c>
      <c r="O513">
        <v>0</v>
      </c>
      <c r="P513">
        <v>3</v>
      </c>
      <c r="Q513">
        <v>0</v>
      </c>
      <c r="R513">
        <v>2</v>
      </c>
      <c r="S513">
        <v>1</v>
      </c>
      <c r="T513">
        <v>0</v>
      </c>
      <c r="U513">
        <v>0</v>
      </c>
      <c r="W513" t="str">
        <f>"17:49:29.508"</f>
        <v>17:49:29.508</v>
      </c>
      <c r="X513" t="str">
        <f>"17:49:29.308"</f>
        <v>17:49:29.308</v>
      </c>
      <c r="Y513" t="str">
        <f t="shared" si="71"/>
        <v>A7C771</v>
      </c>
      <c r="Z513">
        <v>0</v>
      </c>
      <c r="AA513">
        <v>0</v>
      </c>
      <c r="AB513">
        <v>2</v>
      </c>
      <c r="AC513">
        <v>0</v>
      </c>
      <c r="AE513">
        <v>0</v>
      </c>
      <c r="AF513">
        <v>8</v>
      </c>
      <c r="AG513">
        <v>3</v>
      </c>
      <c r="AH513">
        <v>0</v>
      </c>
      <c r="AI513">
        <v>9</v>
      </c>
      <c r="AJ513" t="s">
        <v>125</v>
      </c>
      <c r="AK513">
        <v>0</v>
      </c>
      <c r="AL513">
        <v>3</v>
      </c>
      <c r="AM513">
        <v>2</v>
      </c>
      <c r="AN513">
        <v>1</v>
      </c>
      <c r="AO513" t="s">
        <v>1073</v>
      </c>
      <c r="AP513">
        <v>43.123933999999998</v>
      </c>
      <c r="AQ513" t="s">
        <v>1074</v>
      </c>
      <c r="AR513">
        <v>-77.604482000000004</v>
      </c>
      <c r="AS513">
        <v>25</v>
      </c>
      <c r="AT513">
        <v>1100</v>
      </c>
      <c r="AU513" t="s">
        <v>123</v>
      </c>
      <c r="AV513">
        <v>-111</v>
      </c>
      <c r="AW513">
        <v>19</v>
      </c>
      <c r="AX513">
        <v>-832</v>
      </c>
      <c r="AZ513">
        <f t="shared" si="76"/>
        <v>12321</v>
      </c>
      <c r="BA513">
        <f t="shared" si="77"/>
        <v>361</v>
      </c>
      <c r="BB513" s="1">
        <f t="shared" si="78"/>
        <v>112.61438629233834</v>
      </c>
      <c r="BJ513">
        <v>1404</v>
      </c>
      <c r="BK513">
        <v>1</v>
      </c>
      <c r="BL513" t="str">
        <f t="shared" si="72"/>
        <v xml:space="preserve">N600C   </v>
      </c>
      <c r="BM513">
        <v>2</v>
      </c>
      <c r="BO513">
        <v>0</v>
      </c>
      <c r="BP513">
        <v>0</v>
      </c>
      <c r="BQ513">
        <v>0</v>
      </c>
      <c r="BR513">
        <v>1325</v>
      </c>
      <c r="BS513">
        <v>225</v>
      </c>
      <c r="BT513" t="s">
        <v>128</v>
      </c>
      <c r="BU513">
        <v>0</v>
      </c>
      <c r="BV513">
        <v>0</v>
      </c>
      <c r="BW513">
        <v>0</v>
      </c>
      <c r="BX513">
        <v>0</v>
      </c>
      <c r="CA513">
        <v>0</v>
      </c>
      <c r="CB513">
        <v>0</v>
      </c>
      <c r="CC513">
        <v>0</v>
      </c>
      <c r="CM513" t="str">
        <f>"17:49:29.513"</f>
        <v>17:49:29.513</v>
      </c>
      <c r="CN513">
        <v>513169792</v>
      </c>
      <c r="CQ513">
        <v>0</v>
      </c>
      <c r="CR513">
        <v>2016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3</v>
      </c>
      <c r="DB513">
        <v>2</v>
      </c>
      <c r="DC513">
        <v>0</v>
      </c>
      <c r="DD513">
        <v>2</v>
      </c>
      <c r="DE513">
        <v>0</v>
      </c>
      <c r="DF513">
        <v>6</v>
      </c>
      <c r="DG513">
        <v>7</v>
      </c>
      <c r="DH513" t="s">
        <v>124</v>
      </c>
      <c r="DI513">
        <v>71</v>
      </c>
      <c r="DJ513">
        <v>0</v>
      </c>
      <c r="DK513" t="s">
        <v>134</v>
      </c>
      <c r="DL513" t="s">
        <v>135</v>
      </c>
      <c r="DO513">
        <v>10316795</v>
      </c>
      <c r="DQ513">
        <v>0</v>
      </c>
      <c r="DR513">
        <v>0</v>
      </c>
      <c r="DS513">
        <v>1</v>
      </c>
      <c r="DT513">
        <v>0</v>
      </c>
      <c r="DU513">
        <v>0</v>
      </c>
      <c r="DV513">
        <v>1</v>
      </c>
      <c r="DW513">
        <v>0</v>
      </c>
      <c r="DX513">
        <v>0</v>
      </c>
      <c r="DY513">
        <v>0</v>
      </c>
      <c r="DZ513">
        <v>0</v>
      </c>
      <c r="EA513">
        <v>0</v>
      </c>
    </row>
    <row r="514" spans="1:131" x14ac:dyDescent="0.35">
      <c r="A514" s="2" t="str">
        <f>"17:49:30.945"</f>
        <v>17:49:30.945</v>
      </c>
      <c r="B514" s="4">
        <f t="shared" si="79"/>
        <v>64170.945</v>
      </c>
      <c r="C514" s="4">
        <f t="shared" si="73"/>
        <v>570.94499999999971</v>
      </c>
      <c r="D514" s="3">
        <f t="shared" si="74"/>
        <v>0.74271927083333333</v>
      </c>
      <c r="E514" s="2">
        <f t="shared" si="75"/>
        <v>0.74271927083333333</v>
      </c>
      <c r="G514" t="str">
        <f t="shared" si="70"/>
        <v>FFDFD7C0</v>
      </c>
      <c r="H514" t="s">
        <v>126</v>
      </c>
      <c r="I514">
        <v>8</v>
      </c>
      <c r="J514">
        <v>1008</v>
      </c>
      <c r="K514" t="s">
        <v>129</v>
      </c>
      <c r="N514" t="s">
        <v>127</v>
      </c>
      <c r="O514">
        <v>0</v>
      </c>
      <c r="P514">
        <v>3</v>
      </c>
      <c r="Q514">
        <v>0</v>
      </c>
      <c r="R514">
        <v>2</v>
      </c>
      <c r="S514">
        <v>1</v>
      </c>
      <c r="T514">
        <v>0</v>
      </c>
      <c r="U514">
        <v>0</v>
      </c>
      <c r="W514" t="str">
        <f>"17:49:30.656"</f>
        <v>17:49:30.656</v>
      </c>
      <c r="X514" t="str">
        <f>"17:49:30.256"</f>
        <v>17:49:30.256</v>
      </c>
      <c r="Y514" t="str">
        <f t="shared" si="71"/>
        <v>A7C771</v>
      </c>
      <c r="Z514">
        <v>0</v>
      </c>
      <c r="AA514">
        <v>0</v>
      </c>
      <c r="AB514">
        <v>2</v>
      </c>
      <c r="AC514">
        <v>0</v>
      </c>
      <c r="AE514">
        <v>0</v>
      </c>
      <c r="AF514">
        <v>8</v>
      </c>
      <c r="AG514">
        <v>3</v>
      </c>
      <c r="AH514">
        <v>0</v>
      </c>
      <c r="AI514">
        <v>9</v>
      </c>
      <c r="AJ514" t="s">
        <v>125</v>
      </c>
      <c r="AK514">
        <v>0</v>
      </c>
      <c r="AL514">
        <v>3</v>
      </c>
      <c r="AM514">
        <v>2</v>
      </c>
      <c r="AN514">
        <v>1</v>
      </c>
      <c r="AO514" t="s">
        <v>1075</v>
      </c>
      <c r="AP514">
        <v>43.124042000000003</v>
      </c>
      <c r="AQ514" t="s">
        <v>1076</v>
      </c>
      <c r="AR514">
        <v>-77.605318999999994</v>
      </c>
      <c r="AS514">
        <v>25</v>
      </c>
      <c r="AT514">
        <v>1075</v>
      </c>
      <c r="AU514" t="s">
        <v>123</v>
      </c>
      <c r="AV514">
        <v>-111</v>
      </c>
      <c r="AW514">
        <v>18</v>
      </c>
      <c r="AX514">
        <v>-832</v>
      </c>
      <c r="AZ514">
        <f t="shared" si="76"/>
        <v>12321</v>
      </c>
      <c r="BA514">
        <f t="shared" si="77"/>
        <v>324</v>
      </c>
      <c r="BB514" s="1">
        <f t="shared" si="78"/>
        <v>112.44998888394787</v>
      </c>
      <c r="BJ514">
        <v>1404</v>
      </c>
      <c r="BK514">
        <v>1</v>
      </c>
      <c r="BL514" t="str">
        <f t="shared" si="72"/>
        <v xml:space="preserve">N600C   </v>
      </c>
      <c r="BM514">
        <v>2</v>
      </c>
      <c r="BO514">
        <v>0</v>
      </c>
      <c r="BP514">
        <v>0</v>
      </c>
      <c r="BQ514">
        <v>0</v>
      </c>
      <c r="BR514">
        <v>1325</v>
      </c>
      <c r="BS514">
        <v>250</v>
      </c>
      <c r="BT514" t="s">
        <v>128</v>
      </c>
      <c r="BU514">
        <v>0</v>
      </c>
      <c r="BV514">
        <v>0</v>
      </c>
      <c r="BW514">
        <v>0</v>
      </c>
      <c r="BX514">
        <v>0</v>
      </c>
      <c r="CA514">
        <v>0</v>
      </c>
      <c r="CB514">
        <v>0</v>
      </c>
      <c r="CC514">
        <v>0</v>
      </c>
      <c r="CM514" t="str">
        <f>"17:49:30.657"</f>
        <v>17:49:30.657</v>
      </c>
      <c r="CN514">
        <v>657378493</v>
      </c>
      <c r="CQ514">
        <v>0</v>
      </c>
      <c r="CR514">
        <v>2016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3</v>
      </c>
      <c r="DB514">
        <v>2</v>
      </c>
      <c r="DC514">
        <v>0</v>
      </c>
      <c r="DD514">
        <v>2</v>
      </c>
      <c r="DE514">
        <v>0</v>
      </c>
      <c r="DF514">
        <v>6</v>
      </c>
      <c r="DG514">
        <v>7</v>
      </c>
      <c r="DH514" t="s">
        <v>124</v>
      </c>
      <c r="DI514">
        <v>71</v>
      </c>
      <c r="DJ514">
        <v>0</v>
      </c>
      <c r="DK514" t="s">
        <v>134</v>
      </c>
      <c r="DL514" t="s">
        <v>135</v>
      </c>
      <c r="DO514">
        <v>10317591</v>
      </c>
      <c r="DQ514">
        <v>0</v>
      </c>
      <c r="DR514">
        <v>0</v>
      </c>
      <c r="DS514">
        <v>1</v>
      </c>
      <c r="DT514">
        <v>0</v>
      </c>
      <c r="DU514">
        <v>0</v>
      </c>
      <c r="DV514">
        <v>1</v>
      </c>
      <c r="DW514">
        <v>0</v>
      </c>
      <c r="DX514">
        <v>0</v>
      </c>
      <c r="DY514">
        <v>0</v>
      </c>
      <c r="DZ514">
        <v>0</v>
      </c>
      <c r="EA514">
        <v>0</v>
      </c>
    </row>
    <row r="515" spans="1:131" x14ac:dyDescent="0.35">
      <c r="A515" s="2" t="str">
        <f>"17:49:31.789"</f>
        <v>17:49:31.789</v>
      </c>
      <c r="B515" s="4">
        <f t="shared" si="79"/>
        <v>64171.789000000004</v>
      </c>
      <c r="C515" s="4">
        <f t="shared" si="73"/>
        <v>571.78900000000431</v>
      </c>
      <c r="D515" s="3">
        <f t="shared" si="74"/>
        <v>0.74272903935185186</v>
      </c>
      <c r="E515" s="2">
        <f t="shared" si="75"/>
        <v>0.74272903935185186</v>
      </c>
      <c r="G515" t="str">
        <f t="shared" ref="G515:G573" si="80">"FFDFD7C0"</f>
        <v>FFDFD7C0</v>
      </c>
      <c r="H515" t="s">
        <v>126</v>
      </c>
      <c r="I515">
        <v>8</v>
      </c>
      <c r="J515">
        <v>1008</v>
      </c>
      <c r="K515" t="s">
        <v>129</v>
      </c>
      <c r="N515" t="s">
        <v>127</v>
      </c>
      <c r="O515">
        <v>0</v>
      </c>
      <c r="P515">
        <v>3</v>
      </c>
      <c r="Q515">
        <v>0</v>
      </c>
      <c r="R515">
        <v>2</v>
      </c>
      <c r="S515">
        <v>1</v>
      </c>
      <c r="T515">
        <v>0</v>
      </c>
      <c r="U515">
        <v>0</v>
      </c>
      <c r="W515" t="str">
        <f>"17:49:31.594"</f>
        <v>17:49:31.594</v>
      </c>
      <c r="X515" t="str">
        <f>"17:49:31.194"</f>
        <v>17:49:31.194</v>
      </c>
      <c r="Y515" t="str">
        <f t="shared" ref="Y515:Y573" si="81">"A7C771"</f>
        <v>A7C771</v>
      </c>
      <c r="Z515">
        <v>0</v>
      </c>
      <c r="AA515">
        <v>0</v>
      </c>
      <c r="AB515">
        <v>2</v>
      </c>
      <c r="AC515">
        <v>0</v>
      </c>
      <c r="AE515">
        <v>0</v>
      </c>
      <c r="AF515">
        <v>8</v>
      </c>
      <c r="AG515">
        <v>3</v>
      </c>
      <c r="AH515">
        <v>0</v>
      </c>
      <c r="AI515">
        <v>9</v>
      </c>
      <c r="AJ515" t="s">
        <v>125</v>
      </c>
      <c r="AK515">
        <v>0</v>
      </c>
      <c r="AL515">
        <v>3</v>
      </c>
      <c r="AM515">
        <v>2</v>
      </c>
      <c r="AN515">
        <v>1</v>
      </c>
      <c r="AO515" t="s">
        <v>1077</v>
      </c>
      <c r="AP515">
        <v>43.124127000000001</v>
      </c>
      <c r="AQ515" t="s">
        <v>1078</v>
      </c>
      <c r="AR515">
        <v>-77.605963000000003</v>
      </c>
      <c r="AS515">
        <v>25</v>
      </c>
      <c r="AT515">
        <v>1075</v>
      </c>
      <c r="AU515" t="s">
        <v>123</v>
      </c>
      <c r="AV515">
        <v>-111</v>
      </c>
      <c r="AW515">
        <v>17</v>
      </c>
      <c r="AX515">
        <v>-768</v>
      </c>
      <c r="AZ515">
        <f t="shared" si="76"/>
        <v>12321</v>
      </c>
      <c r="BA515">
        <f t="shared" si="77"/>
        <v>289</v>
      </c>
      <c r="BB515" s="1">
        <f t="shared" si="78"/>
        <v>112.29425630903836</v>
      </c>
      <c r="BJ515">
        <v>1404</v>
      </c>
      <c r="BK515">
        <v>1</v>
      </c>
      <c r="BL515" t="str">
        <f t="shared" ref="BL515:BL573" si="82">"N600C   "</f>
        <v xml:space="preserve">N600C   </v>
      </c>
      <c r="BM515">
        <v>2</v>
      </c>
      <c r="BO515">
        <v>0</v>
      </c>
      <c r="BP515">
        <v>0</v>
      </c>
      <c r="BQ515">
        <v>0</v>
      </c>
      <c r="BR515">
        <v>1300</v>
      </c>
      <c r="BS515">
        <v>225</v>
      </c>
      <c r="BT515" t="s">
        <v>128</v>
      </c>
      <c r="BU515">
        <v>0</v>
      </c>
      <c r="BV515">
        <v>0</v>
      </c>
      <c r="BW515">
        <v>0</v>
      </c>
      <c r="BX515">
        <v>0</v>
      </c>
      <c r="CA515">
        <v>0</v>
      </c>
      <c r="CB515">
        <v>0</v>
      </c>
      <c r="CC515">
        <v>0</v>
      </c>
      <c r="CM515" t="str">
        <f>"17:49:31.602"</f>
        <v>17:49:31.602</v>
      </c>
      <c r="CN515">
        <v>601555273</v>
      </c>
      <c r="CQ515">
        <v>0</v>
      </c>
      <c r="CR515">
        <v>2016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3</v>
      </c>
      <c r="DB515">
        <v>2</v>
      </c>
      <c r="DC515">
        <v>0</v>
      </c>
      <c r="DD515">
        <v>2</v>
      </c>
      <c r="DE515">
        <v>0</v>
      </c>
      <c r="DF515">
        <v>6</v>
      </c>
      <c r="DG515">
        <v>7</v>
      </c>
      <c r="DH515" t="s">
        <v>124</v>
      </c>
      <c r="DI515">
        <v>71</v>
      </c>
      <c r="DJ515">
        <v>1</v>
      </c>
      <c r="DK515" t="s">
        <v>134</v>
      </c>
      <c r="DL515" t="s">
        <v>135</v>
      </c>
      <c r="DO515">
        <v>11691721</v>
      </c>
      <c r="DQ515">
        <v>0</v>
      </c>
      <c r="DR515">
        <v>0</v>
      </c>
      <c r="DS515">
        <v>1</v>
      </c>
      <c r="DT515">
        <v>0</v>
      </c>
      <c r="DU515">
        <v>0</v>
      </c>
      <c r="DV515">
        <v>1</v>
      </c>
      <c r="DW515">
        <v>0</v>
      </c>
      <c r="DX515">
        <v>0</v>
      </c>
      <c r="DY515">
        <v>0</v>
      </c>
      <c r="DZ515">
        <v>0</v>
      </c>
      <c r="EA515">
        <v>0</v>
      </c>
    </row>
    <row r="516" spans="1:131" x14ac:dyDescent="0.35">
      <c r="A516" s="2" t="str">
        <f>"17:49:32.976"</f>
        <v>17:49:32.976</v>
      </c>
      <c r="B516" s="4">
        <f t="shared" si="79"/>
        <v>64172.975999999995</v>
      </c>
      <c r="C516" s="4">
        <f t="shared" ref="C516:C573" si="83">B516-63600</f>
        <v>572.97599999999511</v>
      </c>
      <c r="D516" s="3">
        <f t="shared" ref="D516:D573" si="84">E516</f>
        <v>0.74274277777777775</v>
      </c>
      <c r="E516" s="2">
        <f t="shared" ref="E516:E573" si="85">TIMEVALUE(A516)</f>
        <v>0.74274277777777775</v>
      </c>
      <c r="G516" t="str">
        <f t="shared" si="80"/>
        <v>FFDFD7C0</v>
      </c>
      <c r="H516" t="s">
        <v>126</v>
      </c>
      <c r="I516">
        <v>8</v>
      </c>
      <c r="J516">
        <v>1008</v>
      </c>
      <c r="K516" t="s">
        <v>129</v>
      </c>
      <c r="N516" t="s">
        <v>127</v>
      </c>
      <c r="O516">
        <v>0</v>
      </c>
      <c r="P516">
        <v>3</v>
      </c>
      <c r="Q516">
        <v>0</v>
      </c>
      <c r="R516">
        <v>2</v>
      </c>
      <c r="S516">
        <v>1</v>
      </c>
      <c r="T516">
        <v>0</v>
      </c>
      <c r="U516">
        <v>0</v>
      </c>
      <c r="W516" t="str">
        <f>"17:49:32.727"</f>
        <v>17:49:32.727</v>
      </c>
      <c r="X516" t="str">
        <f>"17:49:32.327"</f>
        <v>17:49:32.327</v>
      </c>
      <c r="Y516" t="str">
        <f t="shared" si="81"/>
        <v>A7C771</v>
      </c>
      <c r="Z516">
        <v>0</v>
      </c>
      <c r="AA516">
        <v>0</v>
      </c>
      <c r="AB516">
        <v>2</v>
      </c>
      <c r="AC516">
        <v>0</v>
      </c>
      <c r="AE516">
        <v>0</v>
      </c>
      <c r="AF516">
        <v>8</v>
      </c>
      <c r="AG516">
        <v>3</v>
      </c>
      <c r="AH516">
        <v>0</v>
      </c>
      <c r="AI516">
        <v>9</v>
      </c>
      <c r="AJ516" t="s">
        <v>125</v>
      </c>
      <c r="AK516">
        <v>0</v>
      </c>
      <c r="AL516">
        <v>3</v>
      </c>
      <c r="AM516">
        <v>2</v>
      </c>
      <c r="AN516">
        <v>1</v>
      </c>
      <c r="AO516" t="s">
        <v>1079</v>
      </c>
      <c r="AP516">
        <v>43.124212999999997</v>
      </c>
      <c r="AQ516" t="s">
        <v>1080</v>
      </c>
      <c r="AR516">
        <v>-77.606778000000006</v>
      </c>
      <c r="AS516">
        <v>25</v>
      </c>
      <c r="AT516">
        <v>1050</v>
      </c>
      <c r="AU516" t="s">
        <v>123</v>
      </c>
      <c r="AV516">
        <v>-111</v>
      </c>
      <c r="AW516">
        <v>16</v>
      </c>
      <c r="AX516">
        <v>-832</v>
      </c>
      <c r="AZ516">
        <f t="shared" ref="AZ516:AZ573" si="86">(AV516)^2</f>
        <v>12321</v>
      </c>
      <c r="BA516">
        <f t="shared" ref="BA516:BA573" si="87">(AW516)^2</f>
        <v>256</v>
      </c>
      <c r="BB516" s="1">
        <f t="shared" ref="BB516:BB573" si="88">SQRT(AZ516+BA516)</f>
        <v>112.14722466472365</v>
      </c>
      <c r="BJ516">
        <v>1404</v>
      </c>
      <c r="BK516">
        <v>1</v>
      </c>
      <c r="BL516" t="str">
        <f t="shared" si="82"/>
        <v xml:space="preserve">N600C   </v>
      </c>
      <c r="BM516">
        <v>2</v>
      </c>
      <c r="BO516">
        <v>0</v>
      </c>
      <c r="BP516">
        <v>0</v>
      </c>
      <c r="BQ516">
        <v>0</v>
      </c>
      <c r="BR516">
        <v>1275</v>
      </c>
      <c r="BS516">
        <v>225</v>
      </c>
      <c r="BT516" t="s">
        <v>128</v>
      </c>
      <c r="BU516">
        <v>0</v>
      </c>
      <c r="BV516">
        <v>0</v>
      </c>
      <c r="BW516">
        <v>0</v>
      </c>
      <c r="BX516">
        <v>0</v>
      </c>
      <c r="CA516">
        <v>0</v>
      </c>
      <c r="CB516">
        <v>0</v>
      </c>
      <c r="CC516">
        <v>0</v>
      </c>
      <c r="CM516" t="str">
        <f>"17:49:32.730"</f>
        <v>17:49:32.730</v>
      </c>
      <c r="CN516">
        <v>729772367</v>
      </c>
      <c r="CQ516">
        <v>0</v>
      </c>
      <c r="CR516">
        <v>2016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3</v>
      </c>
      <c r="DB516">
        <v>2</v>
      </c>
      <c r="DC516">
        <v>0</v>
      </c>
      <c r="DD516">
        <v>2</v>
      </c>
      <c r="DE516">
        <v>0</v>
      </c>
      <c r="DF516">
        <v>7</v>
      </c>
      <c r="DG516">
        <v>7</v>
      </c>
      <c r="DH516" t="s">
        <v>124</v>
      </c>
      <c r="DI516">
        <v>407</v>
      </c>
      <c r="DJ516">
        <v>3</v>
      </c>
      <c r="DK516" t="s">
        <v>132</v>
      </c>
      <c r="DL516" t="s">
        <v>133</v>
      </c>
      <c r="DO516">
        <v>1793809</v>
      </c>
      <c r="DQ516">
        <v>0</v>
      </c>
      <c r="DR516">
        <v>0</v>
      </c>
      <c r="DS516">
        <v>1</v>
      </c>
      <c r="DT516">
        <v>0</v>
      </c>
      <c r="DU516">
        <v>0</v>
      </c>
      <c r="DV516">
        <v>1</v>
      </c>
      <c r="DW516">
        <v>0</v>
      </c>
      <c r="DX516">
        <v>0</v>
      </c>
      <c r="DY516">
        <v>0</v>
      </c>
      <c r="DZ516">
        <v>0</v>
      </c>
      <c r="EA516">
        <v>0</v>
      </c>
    </row>
    <row r="517" spans="1:131" x14ac:dyDescent="0.35">
      <c r="A517" s="2" t="str">
        <f>"17:49:34.038"</f>
        <v>17:49:34.038</v>
      </c>
      <c r="B517" s="4">
        <f t="shared" si="79"/>
        <v>64174.038</v>
      </c>
      <c r="C517" s="4">
        <f t="shared" si="83"/>
        <v>574.03800000000047</v>
      </c>
      <c r="D517" s="3">
        <f t="shared" si="84"/>
        <v>0.74275506944444447</v>
      </c>
      <c r="E517" s="2">
        <f t="shared" si="85"/>
        <v>0.74275506944444447</v>
      </c>
      <c r="G517" t="str">
        <f t="shared" si="80"/>
        <v>FFDFD7C0</v>
      </c>
      <c r="H517" t="s">
        <v>126</v>
      </c>
      <c r="I517">
        <v>8</v>
      </c>
      <c r="J517">
        <v>1008</v>
      </c>
      <c r="K517" t="s">
        <v>129</v>
      </c>
      <c r="N517" t="s">
        <v>127</v>
      </c>
      <c r="O517">
        <v>0</v>
      </c>
      <c r="P517">
        <v>3</v>
      </c>
      <c r="Q517">
        <v>0</v>
      </c>
      <c r="R517">
        <v>2</v>
      </c>
      <c r="S517">
        <v>1</v>
      </c>
      <c r="T517">
        <v>0</v>
      </c>
      <c r="U517">
        <v>0</v>
      </c>
      <c r="W517" t="str">
        <f>"17:49:33.672"</f>
        <v>17:49:33.672</v>
      </c>
      <c r="X517" t="str">
        <f>"17:49:33.372"</f>
        <v>17:49:33.372</v>
      </c>
      <c r="Y517" t="str">
        <f t="shared" si="81"/>
        <v>A7C771</v>
      </c>
      <c r="Z517">
        <v>0</v>
      </c>
      <c r="AA517">
        <v>0</v>
      </c>
      <c r="AB517">
        <v>2</v>
      </c>
      <c r="AC517">
        <v>0</v>
      </c>
      <c r="AE517">
        <v>0</v>
      </c>
      <c r="AF517">
        <v>8</v>
      </c>
      <c r="AG517">
        <v>3</v>
      </c>
      <c r="AH517">
        <v>0</v>
      </c>
      <c r="AI517">
        <v>9</v>
      </c>
      <c r="AJ517" t="s">
        <v>125</v>
      </c>
      <c r="AK517">
        <v>0</v>
      </c>
      <c r="AL517">
        <v>3</v>
      </c>
      <c r="AM517">
        <v>2</v>
      </c>
      <c r="AN517">
        <v>1</v>
      </c>
      <c r="AO517" t="s">
        <v>1081</v>
      </c>
      <c r="AP517">
        <v>43.124277999999997</v>
      </c>
      <c r="AQ517" t="s">
        <v>1082</v>
      </c>
      <c r="AR517">
        <v>-77.607422</v>
      </c>
      <c r="AS517">
        <v>25</v>
      </c>
      <c r="AT517">
        <v>1025</v>
      </c>
      <c r="AU517" t="s">
        <v>123</v>
      </c>
      <c r="AV517">
        <v>-111</v>
      </c>
      <c r="AW517">
        <v>15</v>
      </c>
      <c r="AX517">
        <v>-960</v>
      </c>
      <c r="AZ517">
        <f t="shared" si="86"/>
        <v>12321</v>
      </c>
      <c r="BA517">
        <f t="shared" si="87"/>
        <v>225</v>
      </c>
      <c r="BB517" s="1">
        <f t="shared" si="88"/>
        <v>112.00892821556681</v>
      </c>
      <c r="BJ517">
        <v>1404</v>
      </c>
      <c r="BK517">
        <v>1</v>
      </c>
      <c r="BL517" t="str">
        <f t="shared" si="82"/>
        <v xml:space="preserve">N600C   </v>
      </c>
      <c r="BM517">
        <v>2</v>
      </c>
      <c r="BO517">
        <v>0</v>
      </c>
      <c r="BP517">
        <v>0</v>
      </c>
      <c r="BQ517">
        <v>0</v>
      </c>
      <c r="BR517">
        <v>1275</v>
      </c>
      <c r="BS517">
        <v>250</v>
      </c>
      <c r="BT517" t="s">
        <v>128</v>
      </c>
      <c r="BU517">
        <v>0</v>
      </c>
      <c r="BV517">
        <v>0</v>
      </c>
      <c r="BW517">
        <v>0</v>
      </c>
      <c r="BX517">
        <v>0</v>
      </c>
      <c r="CA517">
        <v>0</v>
      </c>
      <c r="CB517">
        <v>0</v>
      </c>
      <c r="CC517">
        <v>0</v>
      </c>
      <c r="CM517" t="str">
        <f>"17:49:33.674"</f>
        <v>17:49:33.674</v>
      </c>
      <c r="CN517">
        <v>673948429</v>
      </c>
      <c r="CQ517">
        <v>0</v>
      </c>
      <c r="CR517">
        <v>2016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3</v>
      </c>
      <c r="DB517">
        <v>2</v>
      </c>
      <c r="DC517">
        <v>0</v>
      </c>
      <c r="DD517">
        <v>2</v>
      </c>
      <c r="DE517">
        <v>0</v>
      </c>
      <c r="DF517">
        <v>7</v>
      </c>
      <c r="DG517">
        <v>7</v>
      </c>
      <c r="DH517" t="s">
        <v>124</v>
      </c>
      <c r="DI517">
        <v>407</v>
      </c>
      <c r="DJ517">
        <v>3</v>
      </c>
      <c r="DK517" t="s">
        <v>132</v>
      </c>
      <c r="DL517" t="s">
        <v>133</v>
      </c>
      <c r="DO517">
        <v>1794695</v>
      </c>
      <c r="DQ517">
        <v>0</v>
      </c>
      <c r="DR517">
        <v>0</v>
      </c>
      <c r="DS517">
        <v>1</v>
      </c>
      <c r="DT517">
        <v>0</v>
      </c>
      <c r="DU517">
        <v>0</v>
      </c>
      <c r="DV517">
        <v>1</v>
      </c>
      <c r="DW517">
        <v>0</v>
      </c>
      <c r="DX517">
        <v>0</v>
      </c>
      <c r="DY517">
        <v>0</v>
      </c>
      <c r="DZ517">
        <v>0</v>
      </c>
      <c r="EA517">
        <v>0</v>
      </c>
    </row>
    <row r="518" spans="1:131" x14ac:dyDescent="0.35">
      <c r="A518" s="2" t="str">
        <f>"17:49:34.835"</f>
        <v>17:49:34.835</v>
      </c>
      <c r="B518" s="4">
        <f t="shared" si="79"/>
        <v>64174.834999999999</v>
      </c>
      <c r="C518" s="4">
        <f t="shared" si="83"/>
        <v>574.83499999999913</v>
      </c>
      <c r="D518" s="3">
        <f t="shared" si="84"/>
        <v>0.74276429398148147</v>
      </c>
      <c r="E518" s="2">
        <f t="shared" si="85"/>
        <v>0.74276429398148147</v>
      </c>
      <c r="G518" t="str">
        <f t="shared" si="80"/>
        <v>FFDFD7C0</v>
      </c>
      <c r="H518" t="s">
        <v>126</v>
      </c>
      <c r="I518">
        <v>8</v>
      </c>
      <c r="J518">
        <v>1008</v>
      </c>
      <c r="K518" t="s">
        <v>129</v>
      </c>
      <c r="N518" t="s">
        <v>127</v>
      </c>
      <c r="O518">
        <v>0</v>
      </c>
      <c r="P518">
        <v>3</v>
      </c>
      <c r="Q518">
        <v>0</v>
      </c>
      <c r="R518">
        <v>2</v>
      </c>
      <c r="S518">
        <v>1</v>
      </c>
      <c r="T518">
        <v>0</v>
      </c>
      <c r="U518">
        <v>0</v>
      </c>
      <c r="W518" t="str">
        <f>"17:49:34.570"</f>
        <v>17:49:34.570</v>
      </c>
      <c r="X518" t="str">
        <f>"17:49:34.370"</f>
        <v>17:49:34.370</v>
      </c>
      <c r="Y518" t="str">
        <f t="shared" si="81"/>
        <v>A7C771</v>
      </c>
      <c r="Z518">
        <v>0</v>
      </c>
      <c r="AA518">
        <v>0</v>
      </c>
      <c r="AB518">
        <v>2</v>
      </c>
      <c r="AC518">
        <v>0</v>
      </c>
      <c r="AE518">
        <v>0</v>
      </c>
      <c r="AF518">
        <v>8</v>
      </c>
      <c r="AG518">
        <v>3</v>
      </c>
      <c r="AH518">
        <v>0</v>
      </c>
      <c r="AI518">
        <v>9</v>
      </c>
      <c r="AJ518" t="s">
        <v>125</v>
      </c>
      <c r="AK518">
        <v>0</v>
      </c>
      <c r="AL518">
        <v>3</v>
      </c>
      <c r="AM518">
        <v>2</v>
      </c>
      <c r="AN518">
        <v>1</v>
      </c>
      <c r="AO518" t="s">
        <v>1083</v>
      </c>
      <c r="AP518">
        <v>43.124363000000002</v>
      </c>
      <c r="AQ518" t="s">
        <v>1084</v>
      </c>
      <c r="AR518">
        <v>-77.608065999999994</v>
      </c>
      <c r="AS518">
        <v>25</v>
      </c>
      <c r="AT518">
        <v>1025</v>
      </c>
      <c r="AU518" t="s">
        <v>123</v>
      </c>
      <c r="AV518">
        <v>-110</v>
      </c>
      <c r="AW518">
        <v>14</v>
      </c>
      <c r="AX518">
        <v>-1088</v>
      </c>
      <c r="AZ518">
        <f t="shared" si="86"/>
        <v>12100</v>
      </c>
      <c r="BA518">
        <f t="shared" si="87"/>
        <v>196</v>
      </c>
      <c r="BB518" s="1">
        <f t="shared" si="88"/>
        <v>110.8873302050329</v>
      </c>
      <c r="BJ518">
        <v>1404</v>
      </c>
      <c r="BK518">
        <v>1</v>
      </c>
      <c r="BL518" t="str">
        <f t="shared" si="82"/>
        <v xml:space="preserve">N600C   </v>
      </c>
      <c r="BM518">
        <v>2</v>
      </c>
      <c r="BO518">
        <v>0</v>
      </c>
      <c r="BP518">
        <v>0</v>
      </c>
      <c r="BQ518">
        <v>0</v>
      </c>
      <c r="BR518">
        <v>1250</v>
      </c>
      <c r="BS518">
        <v>225</v>
      </c>
      <c r="BT518" t="s">
        <v>128</v>
      </c>
      <c r="BU518">
        <v>0</v>
      </c>
      <c r="BV518">
        <v>0</v>
      </c>
      <c r="BW518">
        <v>0</v>
      </c>
      <c r="BX518">
        <v>0</v>
      </c>
      <c r="CA518">
        <v>0</v>
      </c>
      <c r="CB518">
        <v>0</v>
      </c>
      <c r="CC518">
        <v>0</v>
      </c>
      <c r="CM518" t="str">
        <f>"17:49:34.578"</f>
        <v>17:49:34.578</v>
      </c>
      <c r="CN518">
        <v>578114027</v>
      </c>
      <c r="CQ518">
        <v>0</v>
      </c>
      <c r="CR518">
        <v>2016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3</v>
      </c>
      <c r="DB518">
        <v>2</v>
      </c>
      <c r="DC518">
        <v>0</v>
      </c>
      <c r="DD518">
        <v>2</v>
      </c>
      <c r="DE518">
        <v>0</v>
      </c>
      <c r="DF518">
        <v>7</v>
      </c>
      <c r="DG518">
        <v>7</v>
      </c>
      <c r="DH518" t="s">
        <v>124</v>
      </c>
      <c r="DI518">
        <v>407</v>
      </c>
      <c r="DJ518">
        <v>3</v>
      </c>
      <c r="DK518" t="s">
        <v>132</v>
      </c>
      <c r="DL518" t="s">
        <v>133</v>
      </c>
      <c r="DO518">
        <v>1795535</v>
      </c>
      <c r="DQ518">
        <v>0</v>
      </c>
      <c r="DR518">
        <v>0</v>
      </c>
      <c r="DS518">
        <v>1</v>
      </c>
      <c r="DT518">
        <v>0</v>
      </c>
      <c r="DU518">
        <v>0</v>
      </c>
      <c r="DV518">
        <v>1</v>
      </c>
      <c r="DW518">
        <v>0</v>
      </c>
      <c r="DX518">
        <v>0</v>
      </c>
      <c r="DY518">
        <v>0</v>
      </c>
      <c r="DZ518">
        <v>0</v>
      </c>
      <c r="EA518">
        <v>0</v>
      </c>
    </row>
    <row r="519" spans="1:131" x14ac:dyDescent="0.35">
      <c r="A519" s="2" t="str">
        <f>"17:49:35.741"</f>
        <v>17:49:35.741</v>
      </c>
      <c r="B519" s="4">
        <f t="shared" ref="B519:B573" si="89">E519*86400</f>
        <v>64175.740999999995</v>
      </c>
      <c r="C519" s="4">
        <f t="shared" si="83"/>
        <v>575.74099999999453</v>
      </c>
      <c r="D519" s="3">
        <f t="shared" si="84"/>
        <v>0.74277478009259257</v>
      </c>
      <c r="E519" s="2">
        <f t="shared" si="85"/>
        <v>0.74277478009259257</v>
      </c>
      <c r="G519" t="str">
        <f t="shared" si="80"/>
        <v>FFDFD7C0</v>
      </c>
      <c r="H519" t="s">
        <v>126</v>
      </c>
      <c r="I519">
        <v>8</v>
      </c>
      <c r="J519">
        <v>1008</v>
      </c>
      <c r="K519" t="s">
        <v>129</v>
      </c>
      <c r="N519" t="s">
        <v>127</v>
      </c>
      <c r="O519">
        <v>0</v>
      </c>
      <c r="P519">
        <v>3</v>
      </c>
      <c r="Q519">
        <v>0</v>
      </c>
      <c r="R519">
        <v>2</v>
      </c>
      <c r="S519">
        <v>1</v>
      </c>
      <c r="T519">
        <v>0</v>
      </c>
      <c r="U519">
        <v>0</v>
      </c>
      <c r="W519" t="str">
        <f>"17:49:35.461"</f>
        <v>17:49:35.461</v>
      </c>
      <c r="X519" t="str">
        <f>"17:49:35.261"</f>
        <v>17:49:35.261</v>
      </c>
      <c r="Y519" t="str">
        <f t="shared" si="81"/>
        <v>A7C771</v>
      </c>
      <c r="Z519">
        <v>0</v>
      </c>
      <c r="AA519">
        <v>0</v>
      </c>
      <c r="AB519">
        <v>2</v>
      </c>
      <c r="AC519">
        <v>0</v>
      </c>
      <c r="AE519">
        <v>0</v>
      </c>
      <c r="AF519">
        <v>8</v>
      </c>
      <c r="AG519">
        <v>3</v>
      </c>
      <c r="AH519">
        <v>0</v>
      </c>
      <c r="AI519">
        <v>9</v>
      </c>
      <c r="AJ519" t="s">
        <v>125</v>
      </c>
      <c r="AK519">
        <v>0</v>
      </c>
      <c r="AL519">
        <v>3</v>
      </c>
      <c r="AM519">
        <v>2</v>
      </c>
      <c r="AN519">
        <v>1</v>
      </c>
      <c r="AO519" t="s">
        <v>1085</v>
      </c>
      <c r="AP519">
        <v>43.124406</v>
      </c>
      <c r="AQ519" t="s">
        <v>1086</v>
      </c>
      <c r="AR519">
        <v>-77.608731000000006</v>
      </c>
      <c r="AS519">
        <v>25</v>
      </c>
      <c r="AT519">
        <v>1000</v>
      </c>
      <c r="AU519" t="s">
        <v>123</v>
      </c>
      <c r="AV519">
        <v>-111</v>
      </c>
      <c r="AW519">
        <v>12</v>
      </c>
      <c r="AX519">
        <v>-1152</v>
      </c>
      <c r="AZ519">
        <f t="shared" si="86"/>
        <v>12321</v>
      </c>
      <c r="BA519">
        <f t="shared" si="87"/>
        <v>144</v>
      </c>
      <c r="BB519" s="1">
        <f t="shared" si="88"/>
        <v>111.64676439557037</v>
      </c>
      <c r="BJ519">
        <v>1404</v>
      </c>
      <c r="BK519">
        <v>1</v>
      </c>
      <c r="BL519" t="str">
        <f t="shared" si="82"/>
        <v xml:space="preserve">N600C   </v>
      </c>
      <c r="BM519">
        <v>2</v>
      </c>
      <c r="BO519">
        <v>0</v>
      </c>
      <c r="BP519">
        <v>0</v>
      </c>
      <c r="BQ519">
        <v>0</v>
      </c>
      <c r="BR519">
        <v>1225</v>
      </c>
      <c r="BS519">
        <v>225</v>
      </c>
      <c r="BT519" t="s">
        <v>128</v>
      </c>
      <c r="BU519">
        <v>0</v>
      </c>
      <c r="BV519">
        <v>0</v>
      </c>
      <c r="BW519">
        <v>0</v>
      </c>
      <c r="BX519">
        <v>0</v>
      </c>
      <c r="CA519">
        <v>0</v>
      </c>
      <c r="CB519">
        <v>0</v>
      </c>
      <c r="CC519">
        <v>0</v>
      </c>
      <c r="CM519" t="str">
        <f>"17:49:35.466"</f>
        <v>17:49:35.466</v>
      </c>
      <c r="CN519">
        <v>466283772</v>
      </c>
      <c r="CQ519">
        <v>0</v>
      </c>
      <c r="CR519">
        <v>2016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3</v>
      </c>
      <c r="DB519">
        <v>2</v>
      </c>
      <c r="DC519">
        <v>0</v>
      </c>
      <c r="DD519">
        <v>2</v>
      </c>
      <c r="DE519">
        <v>0</v>
      </c>
      <c r="DF519">
        <v>7</v>
      </c>
      <c r="DG519">
        <v>7</v>
      </c>
      <c r="DH519" t="s">
        <v>124</v>
      </c>
      <c r="DI519">
        <v>407</v>
      </c>
      <c r="DJ519">
        <v>3</v>
      </c>
      <c r="DK519" t="s">
        <v>132</v>
      </c>
      <c r="DL519" t="s">
        <v>133</v>
      </c>
      <c r="DO519">
        <v>1796467</v>
      </c>
      <c r="DQ519">
        <v>0</v>
      </c>
      <c r="DR519">
        <v>0</v>
      </c>
      <c r="DS519">
        <v>1</v>
      </c>
      <c r="DT519">
        <v>0</v>
      </c>
      <c r="DU519">
        <v>0</v>
      </c>
      <c r="DV519">
        <v>1</v>
      </c>
      <c r="DW519">
        <v>0</v>
      </c>
      <c r="DX519">
        <v>0</v>
      </c>
      <c r="DY519">
        <v>0</v>
      </c>
      <c r="DZ519">
        <v>0</v>
      </c>
      <c r="EA519">
        <v>0</v>
      </c>
    </row>
    <row r="520" spans="1:131" x14ac:dyDescent="0.35">
      <c r="A520" s="2" t="str">
        <f>"17:49:36.898"</f>
        <v>17:49:36.898</v>
      </c>
      <c r="B520" s="4">
        <f t="shared" si="89"/>
        <v>64176.897999999994</v>
      </c>
      <c r="C520" s="4">
        <f t="shared" si="83"/>
        <v>576.89799999999377</v>
      </c>
      <c r="D520" s="3">
        <f t="shared" si="84"/>
        <v>0.74278817129629626</v>
      </c>
      <c r="E520" s="2">
        <f t="shared" si="85"/>
        <v>0.74278817129629626</v>
      </c>
      <c r="G520" t="str">
        <f t="shared" si="80"/>
        <v>FFDFD7C0</v>
      </c>
      <c r="H520" t="s">
        <v>126</v>
      </c>
      <c r="I520">
        <v>8</v>
      </c>
      <c r="J520">
        <v>1008</v>
      </c>
      <c r="K520" t="s">
        <v>129</v>
      </c>
      <c r="N520" t="s">
        <v>127</v>
      </c>
      <c r="O520">
        <v>0</v>
      </c>
      <c r="P520">
        <v>3</v>
      </c>
      <c r="Q520">
        <v>0</v>
      </c>
      <c r="R520">
        <v>2</v>
      </c>
      <c r="S520">
        <v>1</v>
      </c>
      <c r="T520">
        <v>0</v>
      </c>
      <c r="U520">
        <v>0</v>
      </c>
      <c r="W520" t="str">
        <f>"17:49:36.438"</f>
        <v>17:49:36.438</v>
      </c>
      <c r="X520" t="str">
        <f>"17:49:36.338"</f>
        <v>17:49:36.338</v>
      </c>
      <c r="Y520" t="str">
        <f t="shared" si="81"/>
        <v>A7C771</v>
      </c>
      <c r="Z520">
        <v>0</v>
      </c>
      <c r="AA520">
        <v>0</v>
      </c>
      <c r="AB520">
        <v>2</v>
      </c>
      <c r="AC520">
        <v>0</v>
      </c>
      <c r="AE520">
        <v>0</v>
      </c>
      <c r="AF520">
        <v>8</v>
      </c>
      <c r="AG520">
        <v>3</v>
      </c>
      <c r="AH520">
        <v>0</v>
      </c>
      <c r="AI520">
        <v>9</v>
      </c>
      <c r="AJ520" t="s">
        <v>125</v>
      </c>
      <c r="AK520">
        <v>0</v>
      </c>
      <c r="AL520">
        <v>3</v>
      </c>
      <c r="AM520">
        <v>2</v>
      </c>
      <c r="AN520">
        <v>1</v>
      </c>
      <c r="AO520" t="s">
        <v>1087</v>
      </c>
      <c r="AP520">
        <v>43.124448999999998</v>
      </c>
      <c r="AQ520" t="s">
        <v>1088</v>
      </c>
      <c r="AR520">
        <v>-77.609375</v>
      </c>
      <c r="AS520">
        <v>25</v>
      </c>
      <c r="AT520">
        <v>975</v>
      </c>
      <c r="AU520" t="s">
        <v>123</v>
      </c>
      <c r="AV520">
        <v>-111</v>
      </c>
      <c r="AW520">
        <v>10</v>
      </c>
      <c r="AX520">
        <v>-1152</v>
      </c>
      <c r="AZ520">
        <f t="shared" si="86"/>
        <v>12321</v>
      </c>
      <c r="BA520">
        <f t="shared" si="87"/>
        <v>100</v>
      </c>
      <c r="BB520" s="1">
        <f t="shared" si="88"/>
        <v>111.44954015158609</v>
      </c>
      <c r="BJ520">
        <v>1404</v>
      </c>
      <c r="BK520">
        <v>1</v>
      </c>
      <c r="BL520" t="str">
        <f t="shared" si="82"/>
        <v xml:space="preserve">N600C   </v>
      </c>
      <c r="BM520">
        <v>2</v>
      </c>
      <c r="BO520">
        <v>0</v>
      </c>
      <c r="BP520">
        <v>0</v>
      </c>
      <c r="BQ520">
        <v>0</v>
      </c>
      <c r="BR520">
        <v>1200</v>
      </c>
      <c r="BS520">
        <v>225</v>
      </c>
      <c r="BT520" t="s">
        <v>128</v>
      </c>
      <c r="BU520">
        <v>0</v>
      </c>
      <c r="BV520">
        <v>0</v>
      </c>
      <c r="BW520">
        <v>0</v>
      </c>
      <c r="BX520">
        <v>0</v>
      </c>
      <c r="CA520">
        <v>0</v>
      </c>
      <c r="CB520">
        <v>0</v>
      </c>
      <c r="CC520">
        <v>0</v>
      </c>
      <c r="CM520" t="str">
        <f>"17:49:36.442"</f>
        <v>17:49:36.442</v>
      </c>
      <c r="CN520">
        <v>442457445</v>
      </c>
      <c r="CQ520">
        <v>0</v>
      </c>
      <c r="CR520">
        <v>2016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3</v>
      </c>
      <c r="DB520">
        <v>2</v>
      </c>
      <c r="DC520">
        <v>0</v>
      </c>
      <c r="DD520">
        <v>2</v>
      </c>
      <c r="DE520">
        <v>0</v>
      </c>
      <c r="DF520">
        <v>4</v>
      </c>
      <c r="DG520">
        <v>7</v>
      </c>
      <c r="DH520" t="s">
        <v>124</v>
      </c>
      <c r="DI520">
        <v>71</v>
      </c>
      <c r="DJ520">
        <v>1</v>
      </c>
      <c r="DK520" t="s">
        <v>134</v>
      </c>
      <c r="DL520" t="s">
        <v>135</v>
      </c>
      <c r="DO520">
        <v>11695748</v>
      </c>
      <c r="DQ520">
        <v>0</v>
      </c>
      <c r="DR520">
        <v>0</v>
      </c>
      <c r="DS520">
        <v>1</v>
      </c>
      <c r="DT520">
        <v>0</v>
      </c>
      <c r="DU520">
        <v>0</v>
      </c>
      <c r="DV520">
        <v>1</v>
      </c>
      <c r="DW520">
        <v>0</v>
      </c>
      <c r="DX520">
        <v>0</v>
      </c>
      <c r="DY520">
        <v>0</v>
      </c>
      <c r="DZ520">
        <v>0</v>
      </c>
      <c r="EA520">
        <v>0</v>
      </c>
    </row>
    <row r="521" spans="1:131" x14ac:dyDescent="0.35">
      <c r="A521" s="2" t="str">
        <f>"17:49:37.617"</f>
        <v>17:49:37.617</v>
      </c>
      <c r="B521" s="4">
        <f t="shared" si="89"/>
        <v>64177.616999999998</v>
      </c>
      <c r="C521" s="4">
        <f t="shared" si="83"/>
        <v>577.61699999999837</v>
      </c>
      <c r="D521" s="3">
        <f t="shared" si="84"/>
        <v>0.74279649305555551</v>
      </c>
      <c r="E521" s="2">
        <f t="shared" si="85"/>
        <v>0.74279649305555551</v>
      </c>
      <c r="G521" t="str">
        <f t="shared" si="80"/>
        <v>FFDFD7C0</v>
      </c>
      <c r="H521" t="s">
        <v>126</v>
      </c>
      <c r="I521">
        <v>8</v>
      </c>
      <c r="J521">
        <v>1008</v>
      </c>
      <c r="K521" t="s">
        <v>129</v>
      </c>
      <c r="N521" t="s">
        <v>127</v>
      </c>
      <c r="O521">
        <v>0</v>
      </c>
      <c r="P521">
        <v>3</v>
      </c>
      <c r="Q521">
        <v>0</v>
      </c>
      <c r="R521">
        <v>2</v>
      </c>
      <c r="S521">
        <v>1</v>
      </c>
      <c r="T521">
        <v>0</v>
      </c>
      <c r="U521">
        <v>0</v>
      </c>
      <c r="W521" t="str">
        <f>"17:49:37.336"</f>
        <v>17:49:37.336</v>
      </c>
      <c r="X521" t="str">
        <f>"17:49:37.336"</f>
        <v>17:49:37.336</v>
      </c>
      <c r="Y521" t="str">
        <f t="shared" si="81"/>
        <v>A7C771</v>
      </c>
      <c r="Z521">
        <v>0</v>
      </c>
      <c r="AA521">
        <v>0</v>
      </c>
      <c r="AB521">
        <v>2</v>
      </c>
      <c r="AC521">
        <v>0</v>
      </c>
      <c r="AE521">
        <v>0</v>
      </c>
      <c r="AF521">
        <v>8</v>
      </c>
      <c r="AG521">
        <v>3</v>
      </c>
      <c r="AH521">
        <v>0</v>
      </c>
      <c r="AI521">
        <v>9</v>
      </c>
      <c r="AJ521" t="s">
        <v>125</v>
      </c>
      <c r="AK521">
        <v>0</v>
      </c>
      <c r="AL521">
        <v>3</v>
      </c>
      <c r="AM521">
        <v>2</v>
      </c>
      <c r="AN521">
        <v>1</v>
      </c>
      <c r="AO521" t="s">
        <v>1087</v>
      </c>
      <c r="AP521">
        <v>43.124448999999998</v>
      </c>
      <c r="AQ521" t="s">
        <v>1089</v>
      </c>
      <c r="AR521">
        <v>-77.610039999999998</v>
      </c>
      <c r="AS521">
        <v>25</v>
      </c>
      <c r="AT521">
        <v>950</v>
      </c>
      <c r="AU521" t="s">
        <v>123</v>
      </c>
      <c r="AV521">
        <v>-111</v>
      </c>
      <c r="AW521">
        <v>9</v>
      </c>
      <c r="AX521">
        <v>-1280</v>
      </c>
      <c r="AZ521">
        <f t="shared" si="86"/>
        <v>12321</v>
      </c>
      <c r="BA521">
        <f t="shared" si="87"/>
        <v>81</v>
      </c>
      <c r="BB521" s="1">
        <f t="shared" si="88"/>
        <v>111.36426715962351</v>
      </c>
      <c r="BJ521">
        <v>1404</v>
      </c>
      <c r="BK521">
        <v>1</v>
      </c>
      <c r="BL521" t="str">
        <f t="shared" si="82"/>
        <v xml:space="preserve">N600C   </v>
      </c>
      <c r="BM521">
        <v>2</v>
      </c>
      <c r="BO521">
        <v>0</v>
      </c>
      <c r="BP521">
        <v>0</v>
      </c>
      <c r="BQ521">
        <v>0</v>
      </c>
      <c r="BR521">
        <v>1200</v>
      </c>
      <c r="BS521">
        <v>250</v>
      </c>
      <c r="BT521" t="s">
        <v>128</v>
      </c>
      <c r="BU521">
        <v>0</v>
      </c>
      <c r="BV521">
        <v>0</v>
      </c>
      <c r="BW521">
        <v>0</v>
      </c>
      <c r="BX521">
        <v>0</v>
      </c>
      <c r="CA521">
        <v>0</v>
      </c>
      <c r="CB521">
        <v>0</v>
      </c>
      <c r="CC521">
        <v>0</v>
      </c>
      <c r="CM521" t="str">
        <f>"17:49:37.339"</f>
        <v>17:49:37.339</v>
      </c>
      <c r="CN521">
        <v>338665281</v>
      </c>
      <c r="CQ521">
        <v>0</v>
      </c>
      <c r="CR521">
        <v>2016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3</v>
      </c>
      <c r="DB521">
        <v>2</v>
      </c>
      <c r="DC521">
        <v>0</v>
      </c>
      <c r="DD521">
        <v>2</v>
      </c>
      <c r="DE521">
        <v>0</v>
      </c>
      <c r="DF521">
        <v>5</v>
      </c>
      <c r="DG521">
        <v>7</v>
      </c>
      <c r="DH521" t="s">
        <v>124</v>
      </c>
      <c r="DI521">
        <v>71</v>
      </c>
      <c r="DJ521">
        <v>0</v>
      </c>
      <c r="DK521" t="s">
        <v>134</v>
      </c>
      <c r="DL521" t="s">
        <v>135</v>
      </c>
      <c r="DO521">
        <v>10322445</v>
      </c>
      <c r="DQ521">
        <v>0</v>
      </c>
      <c r="DR521">
        <v>0</v>
      </c>
      <c r="DS521">
        <v>1</v>
      </c>
      <c r="DT521">
        <v>0</v>
      </c>
      <c r="DU521">
        <v>0</v>
      </c>
      <c r="DV521">
        <v>1</v>
      </c>
      <c r="DW521">
        <v>0</v>
      </c>
      <c r="DX521">
        <v>0</v>
      </c>
      <c r="DY521">
        <v>0</v>
      </c>
      <c r="DZ521">
        <v>0</v>
      </c>
      <c r="EA521">
        <v>0</v>
      </c>
    </row>
    <row r="522" spans="1:131" x14ac:dyDescent="0.35">
      <c r="A522" s="2" t="str">
        <f>"17:49:38.601"</f>
        <v>17:49:38.601</v>
      </c>
      <c r="B522" s="4">
        <f t="shared" si="89"/>
        <v>64178.601000000002</v>
      </c>
      <c r="C522" s="4">
        <f t="shared" si="83"/>
        <v>578.60100000000239</v>
      </c>
      <c r="D522" s="3">
        <f t="shared" si="84"/>
        <v>0.74280788194444447</v>
      </c>
      <c r="E522" s="2">
        <f t="shared" si="85"/>
        <v>0.74280788194444447</v>
      </c>
      <c r="G522" t="str">
        <f t="shared" si="80"/>
        <v>FFDFD7C0</v>
      </c>
      <c r="H522" t="s">
        <v>126</v>
      </c>
      <c r="I522">
        <v>8</v>
      </c>
      <c r="J522">
        <v>1008</v>
      </c>
      <c r="K522" t="s">
        <v>129</v>
      </c>
      <c r="N522" t="s">
        <v>127</v>
      </c>
      <c r="O522">
        <v>0</v>
      </c>
      <c r="P522">
        <v>3</v>
      </c>
      <c r="Q522">
        <v>0</v>
      </c>
      <c r="R522">
        <v>2</v>
      </c>
      <c r="S522">
        <v>1</v>
      </c>
      <c r="T522">
        <v>0</v>
      </c>
      <c r="U522">
        <v>0</v>
      </c>
      <c r="W522" t="str">
        <f>"17:49:38.320"</f>
        <v>17:49:38.320</v>
      </c>
      <c r="X522" t="str">
        <f>"17:49:37.920"</f>
        <v>17:49:37.920</v>
      </c>
      <c r="Y522" t="str">
        <f t="shared" si="81"/>
        <v>A7C771</v>
      </c>
      <c r="Z522">
        <v>0</v>
      </c>
      <c r="AA522">
        <v>0</v>
      </c>
      <c r="AB522">
        <v>2</v>
      </c>
      <c r="AC522">
        <v>0</v>
      </c>
      <c r="AE522">
        <v>0</v>
      </c>
      <c r="AF522">
        <v>8</v>
      </c>
      <c r="AG522">
        <v>3</v>
      </c>
      <c r="AH522">
        <v>0</v>
      </c>
      <c r="AI522">
        <v>9</v>
      </c>
      <c r="AJ522" t="s">
        <v>125</v>
      </c>
      <c r="AK522">
        <v>0</v>
      </c>
      <c r="AL522">
        <v>3</v>
      </c>
      <c r="AM522">
        <v>2</v>
      </c>
      <c r="AN522">
        <v>1</v>
      </c>
      <c r="AO522" t="s">
        <v>1090</v>
      </c>
      <c r="AP522">
        <v>43.124513999999998</v>
      </c>
      <c r="AQ522" t="s">
        <v>1091</v>
      </c>
      <c r="AR522">
        <v>-77.610682999999995</v>
      </c>
      <c r="AS522">
        <v>25</v>
      </c>
      <c r="AT522">
        <v>925</v>
      </c>
      <c r="AU522" t="s">
        <v>123</v>
      </c>
      <c r="AV522">
        <v>-111</v>
      </c>
      <c r="AW522">
        <v>9</v>
      </c>
      <c r="AX522">
        <v>-1280</v>
      </c>
      <c r="AZ522">
        <f t="shared" si="86"/>
        <v>12321</v>
      </c>
      <c r="BA522">
        <f t="shared" si="87"/>
        <v>81</v>
      </c>
      <c r="BB522" s="1">
        <f t="shared" si="88"/>
        <v>111.36426715962351</v>
      </c>
      <c r="BJ522">
        <v>1404</v>
      </c>
      <c r="BK522">
        <v>1</v>
      </c>
      <c r="BL522" t="str">
        <f t="shared" si="82"/>
        <v xml:space="preserve">N600C   </v>
      </c>
      <c r="BM522">
        <v>2</v>
      </c>
      <c r="BO522">
        <v>0</v>
      </c>
      <c r="BP522">
        <v>0</v>
      </c>
      <c r="BQ522">
        <v>0</v>
      </c>
      <c r="BR522">
        <v>1200</v>
      </c>
      <c r="BS522">
        <v>275</v>
      </c>
      <c r="BT522" t="s">
        <v>128</v>
      </c>
      <c r="BU522">
        <v>0</v>
      </c>
      <c r="BV522">
        <v>0</v>
      </c>
      <c r="BW522">
        <v>0</v>
      </c>
      <c r="BX522">
        <v>0</v>
      </c>
      <c r="CA522">
        <v>0</v>
      </c>
      <c r="CB522">
        <v>0</v>
      </c>
      <c r="CC522">
        <v>0</v>
      </c>
      <c r="CM522" t="str">
        <f>"17:49:38.323"</f>
        <v>17:49:38.323</v>
      </c>
      <c r="CN522">
        <v>322789241</v>
      </c>
      <c r="CQ522">
        <v>0</v>
      </c>
      <c r="CR522">
        <v>2016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3</v>
      </c>
      <c r="DB522">
        <v>2</v>
      </c>
      <c r="DC522">
        <v>0</v>
      </c>
      <c r="DD522">
        <v>2</v>
      </c>
      <c r="DE522">
        <v>0</v>
      </c>
      <c r="DF522">
        <v>6</v>
      </c>
      <c r="DG522">
        <v>7</v>
      </c>
      <c r="DH522" t="s">
        <v>124</v>
      </c>
      <c r="DI522">
        <v>71</v>
      </c>
      <c r="DJ522">
        <v>0</v>
      </c>
      <c r="DK522" t="s">
        <v>134</v>
      </c>
      <c r="DL522" t="s">
        <v>135</v>
      </c>
      <c r="DO522">
        <v>10323106</v>
      </c>
      <c r="DQ522">
        <v>0</v>
      </c>
      <c r="DR522">
        <v>0</v>
      </c>
      <c r="DS522">
        <v>1</v>
      </c>
      <c r="DT522">
        <v>0</v>
      </c>
      <c r="DU522">
        <v>0</v>
      </c>
      <c r="DV522">
        <v>1</v>
      </c>
      <c r="DW522">
        <v>0</v>
      </c>
      <c r="DX522">
        <v>0</v>
      </c>
      <c r="DY522">
        <v>0</v>
      </c>
      <c r="DZ522">
        <v>0</v>
      </c>
      <c r="EA522">
        <v>0</v>
      </c>
    </row>
    <row r="523" spans="1:131" x14ac:dyDescent="0.35">
      <c r="A523" s="2" t="str">
        <f>"17:49:39.538"</f>
        <v>17:49:39.538</v>
      </c>
      <c r="B523" s="4">
        <f t="shared" si="89"/>
        <v>64179.538000000008</v>
      </c>
      <c r="C523" s="4">
        <f t="shared" si="83"/>
        <v>579.53800000000774</v>
      </c>
      <c r="D523" s="3">
        <f t="shared" si="84"/>
        <v>0.74281872685185191</v>
      </c>
      <c r="E523" s="2">
        <f t="shared" si="85"/>
        <v>0.74281872685185191</v>
      </c>
      <c r="G523" t="str">
        <f t="shared" si="80"/>
        <v>FFDFD7C0</v>
      </c>
      <c r="H523" t="s">
        <v>126</v>
      </c>
      <c r="I523">
        <v>8</v>
      </c>
      <c r="J523">
        <v>1008</v>
      </c>
      <c r="K523" t="s">
        <v>129</v>
      </c>
      <c r="N523" t="s">
        <v>127</v>
      </c>
      <c r="O523">
        <v>0</v>
      </c>
      <c r="P523">
        <v>3</v>
      </c>
      <c r="Q523">
        <v>0</v>
      </c>
      <c r="R523">
        <v>2</v>
      </c>
      <c r="S523">
        <v>1</v>
      </c>
      <c r="T523">
        <v>0</v>
      </c>
      <c r="U523">
        <v>0</v>
      </c>
      <c r="W523" t="str">
        <f>"17:49:39.305"</f>
        <v>17:49:39.305</v>
      </c>
      <c r="X523" t="str">
        <f>"17:49:39.005"</f>
        <v>17:49:39.005</v>
      </c>
      <c r="Y523" t="str">
        <f t="shared" si="81"/>
        <v>A7C771</v>
      </c>
      <c r="Z523">
        <v>0</v>
      </c>
      <c r="AA523">
        <v>0</v>
      </c>
      <c r="AB523">
        <v>2</v>
      </c>
      <c r="AC523">
        <v>0</v>
      </c>
      <c r="AE523">
        <v>0</v>
      </c>
      <c r="AF523">
        <v>8</v>
      </c>
      <c r="AG523">
        <v>3</v>
      </c>
      <c r="AH523">
        <v>0</v>
      </c>
      <c r="AI523">
        <v>9</v>
      </c>
      <c r="AJ523" t="s">
        <v>125</v>
      </c>
      <c r="AK523">
        <v>0</v>
      </c>
      <c r="AL523">
        <v>3</v>
      </c>
      <c r="AM523">
        <v>2</v>
      </c>
      <c r="AN523">
        <v>1</v>
      </c>
      <c r="AO523" t="s">
        <v>1093</v>
      </c>
      <c r="AP523">
        <v>43.124557000000003</v>
      </c>
      <c r="AQ523" t="s">
        <v>1094</v>
      </c>
      <c r="AR523">
        <v>-77.611412999999999</v>
      </c>
      <c r="AS523">
        <v>25</v>
      </c>
      <c r="AT523">
        <v>925</v>
      </c>
      <c r="AU523" t="s">
        <v>123</v>
      </c>
      <c r="AV523">
        <v>-112</v>
      </c>
      <c r="AW523">
        <v>8</v>
      </c>
      <c r="AX523">
        <v>-1280</v>
      </c>
      <c r="AZ523">
        <f t="shared" si="86"/>
        <v>12544</v>
      </c>
      <c r="BA523">
        <f t="shared" si="87"/>
        <v>64</v>
      </c>
      <c r="BB523" s="1">
        <f t="shared" si="88"/>
        <v>112.28535078094559</v>
      </c>
      <c r="BJ523">
        <v>1404</v>
      </c>
      <c r="BK523">
        <v>1</v>
      </c>
      <c r="BL523" t="str">
        <f t="shared" si="82"/>
        <v xml:space="preserve">N600C   </v>
      </c>
      <c r="BM523">
        <v>2</v>
      </c>
      <c r="BO523">
        <v>0</v>
      </c>
      <c r="BP523">
        <v>0</v>
      </c>
      <c r="BQ523">
        <v>0</v>
      </c>
      <c r="BR523">
        <v>1175</v>
      </c>
      <c r="BS523">
        <v>250</v>
      </c>
      <c r="BT523" t="s">
        <v>128</v>
      </c>
      <c r="BU523">
        <v>0</v>
      </c>
      <c r="BV523">
        <v>0</v>
      </c>
      <c r="BW523">
        <v>0</v>
      </c>
      <c r="BX523">
        <v>0</v>
      </c>
      <c r="CA523">
        <v>0</v>
      </c>
      <c r="CB523">
        <v>0</v>
      </c>
      <c r="CC523">
        <v>0</v>
      </c>
      <c r="CM523" t="str">
        <f>"17:49:39.307"</f>
        <v>17:49:39.307</v>
      </c>
      <c r="CN523">
        <v>306975435</v>
      </c>
      <c r="CQ523">
        <v>0</v>
      </c>
      <c r="CR523">
        <v>2016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3</v>
      </c>
      <c r="DB523">
        <v>2</v>
      </c>
      <c r="DC523">
        <v>0</v>
      </c>
      <c r="DD523">
        <v>2</v>
      </c>
      <c r="DE523">
        <v>0</v>
      </c>
      <c r="DF523">
        <v>7</v>
      </c>
      <c r="DG523">
        <v>7</v>
      </c>
      <c r="DH523" t="s">
        <v>124</v>
      </c>
      <c r="DI523">
        <v>407</v>
      </c>
      <c r="DJ523">
        <v>3</v>
      </c>
      <c r="DK523" t="s">
        <v>132</v>
      </c>
      <c r="DL523" t="s">
        <v>133</v>
      </c>
      <c r="DO523">
        <v>1800389</v>
      </c>
      <c r="DQ523">
        <v>0</v>
      </c>
      <c r="DR523">
        <v>0</v>
      </c>
      <c r="DS523">
        <v>1</v>
      </c>
      <c r="DT523">
        <v>0</v>
      </c>
      <c r="DU523">
        <v>0</v>
      </c>
      <c r="DV523">
        <v>1</v>
      </c>
      <c r="DW523">
        <v>0</v>
      </c>
      <c r="DX523">
        <v>0</v>
      </c>
      <c r="DY523">
        <v>0</v>
      </c>
      <c r="DZ523">
        <v>0</v>
      </c>
      <c r="EA523">
        <v>0</v>
      </c>
    </row>
    <row r="524" spans="1:131" x14ac:dyDescent="0.35">
      <c r="A524" s="2" t="str">
        <f>"17:49:40.507"</f>
        <v>17:49:40.507</v>
      </c>
      <c r="B524" s="4">
        <f t="shared" si="89"/>
        <v>64180.506999999998</v>
      </c>
      <c r="C524" s="4">
        <f t="shared" si="83"/>
        <v>580.50699999999779</v>
      </c>
      <c r="D524" s="3">
        <f t="shared" si="84"/>
        <v>0.74282994212962961</v>
      </c>
      <c r="E524" s="2">
        <f t="shared" si="85"/>
        <v>0.74282994212962961</v>
      </c>
      <c r="G524" t="str">
        <f t="shared" si="80"/>
        <v>FFDFD7C0</v>
      </c>
      <c r="H524" t="s">
        <v>126</v>
      </c>
      <c r="I524">
        <v>8</v>
      </c>
      <c r="J524">
        <v>1008</v>
      </c>
      <c r="K524" t="s">
        <v>129</v>
      </c>
      <c r="N524" t="s">
        <v>127</v>
      </c>
      <c r="O524">
        <v>0</v>
      </c>
      <c r="P524">
        <v>3</v>
      </c>
      <c r="Q524">
        <v>0</v>
      </c>
      <c r="R524">
        <v>2</v>
      </c>
      <c r="S524">
        <v>1</v>
      </c>
      <c r="T524">
        <v>0</v>
      </c>
      <c r="U524">
        <v>0</v>
      </c>
      <c r="W524" t="str">
        <f>"17:49:40.227"</f>
        <v>17:49:40.227</v>
      </c>
      <c r="X524" t="str">
        <f>"17:49:39.827"</f>
        <v>17:49:39.827</v>
      </c>
      <c r="Y524" t="str">
        <f t="shared" si="81"/>
        <v>A7C771</v>
      </c>
      <c r="Z524">
        <v>0</v>
      </c>
      <c r="AA524">
        <v>0</v>
      </c>
      <c r="AB524">
        <v>2</v>
      </c>
      <c r="AC524">
        <v>0</v>
      </c>
      <c r="AE524">
        <v>0</v>
      </c>
      <c r="AF524">
        <v>8</v>
      </c>
      <c r="AG524">
        <v>3</v>
      </c>
      <c r="AH524">
        <v>0</v>
      </c>
      <c r="AI524">
        <v>9</v>
      </c>
      <c r="AJ524" t="s">
        <v>125</v>
      </c>
      <c r="AK524">
        <v>0</v>
      </c>
      <c r="AL524">
        <v>3</v>
      </c>
      <c r="AM524">
        <v>2</v>
      </c>
      <c r="AN524">
        <v>1</v>
      </c>
      <c r="AO524" t="s">
        <v>1095</v>
      </c>
      <c r="AP524">
        <v>43.124535000000002</v>
      </c>
      <c r="AQ524" t="s">
        <v>1096</v>
      </c>
      <c r="AR524">
        <v>-77.612014000000002</v>
      </c>
      <c r="AS524">
        <v>25</v>
      </c>
      <c r="AT524">
        <v>900</v>
      </c>
      <c r="AU524" t="s">
        <v>123</v>
      </c>
      <c r="AV524">
        <v>-113</v>
      </c>
      <c r="AW524">
        <v>6</v>
      </c>
      <c r="AX524">
        <v>-1280</v>
      </c>
      <c r="AZ524">
        <f t="shared" si="86"/>
        <v>12769</v>
      </c>
      <c r="BA524">
        <f t="shared" si="87"/>
        <v>36</v>
      </c>
      <c r="BB524" s="1">
        <f t="shared" si="88"/>
        <v>113.1591799192624</v>
      </c>
      <c r="BJ524">
        <v>1404</v>
      </c>
      <c r="BK524">
        <v>1</v>
      </c>
      <c r="BL524" t="str">
        <f t="shared" si="82"/>
        <v xml:space="preserve">N600C   </v>
      </c>
      <c r="BM524">
        <v>2</v>
      </c>
      <c r="BO524">
        <v>0</v>
      </c>
      <c r="BP524">
        <v>0</v>
      </c>
      <c r="BQ524">
        <v>0</v>
      </c>
      <c r="BR524">
        <v>1150</v>
      </c>
      <c r="BS524">
        <v>250</v>
      </c>
      <c r="BT524" t="s">
        <v>128</v>
      </c>
      <c r="BU524">
        <v>0</v>
      </c>
      <c r="BV524">
        <v>0</v>
      </c>
      <c r="BW524">
        <v>0</v>
      </c>
      <c r="BX524">
        <v>0</v>
      </c>
      <c r="CA524">
        <v>0</v>
      </c>
      <c r="CB524">
        <v>0</v>
      </c>
      <c r="CC524">
        <v>0</v>
      </c>
      <c r="CM524" t="str">
        <f>"17:49:40.227"</f>
        <v>17:49:40.227</v>
      </c>
      <c r="CN524">
        <v>227150481</v>
      </c>
      <c r="CQ524">
        <v>0</v>
      </c>
      <c r="CR524">
        <v>2016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3</v>
      </c>
      <c r="DB524">
        <v>2</v>
      </c>
      <c r="DC524">
        <v>0</v>
      </c>
      <c r="DD524">
        <v>2</v>
      </c>
      <c r="DE524">
        <v>0</v>
      </c>
      <c r="DF524">
        <v>7</v>
      </c>
      <c r="DG524">
        <v>7</v>
      </c>
      <c r="DH524" t="s">
        <v>124</v>
      </c>
      <c r="DI524">
        <v>407</v>
      </c>
      <c r="DJ524">
        <v>3</v>
      </c>
      <c r="DK524" t="s">
        <v>132</v>
      </c>
      <c r="DL524" t="s">
        <v>133</v>
      </c>
      <c r="DO524">
        <v>1801394</v>
      </c>
      <c r="DQ524">
        <v>0</v>
      </c>
      <c r="DR524">
        <v>0</v>
      </c>
      <c r="DS524">
        <v>1</v>
      </c>
      <c r="DT524">
        <v>0</v>
      </c>
      <c r="DU524">
        <v>0</v>
      </c>
      <c r="DV524">
        <v>1</v>
      </c>
      <c r="DW524">
        <v>0</v>
      </c>
      <c r="DX524">
        <v>0</v>
      </c>
      <c r="DY524">
        <v>0</v>
      </c>
      <c r="DZ524">
        <v>0</v>
      </c>
      <c r="EA524">
        <v>0</v>
      </c>
    </row>
    <row r="525" spans="1:131" x14ac:dyDescent="0.35">
      <c r="A525" s="2" t="str">
        <f>"17:49:41.476"</f>
        <v>17:49:41.476</v>
      </c>
      <c r="B525" s="4">
        <f t="shared" si="89"/>
        <v>64181.476000000002</v>
      </c>
      <c r="C525" s="4">
        <f t="shared" si="83"/>
        <v>581.47600000000239</v>
      </c>
      <c r="D525" s="3">
        <f t="shared" si="84"/>
        <v>0.74284115740740742</v>
      </c>
      <c r="E525" s="2">
        <f t="shared" si="85"/>
        <v>0.74284115740740742</v>
      </c>
      <c r="G525" t="str">
        <f t="shared" si="80"/>
        <v>FFDFD7C0</v>
      </c>
      <c r="H525" t="s">
        <v>126</v>
      </c>
      <c r="I525">
        <v>8</v>
      </c>
      <c r="J525">
        <v>1008</v>
      </c>
      <c r="K525" t="s">
        <v>129</v>
      </c>
      <c r="N525" t="s">
        <v>127</v>
      </c>
      <c r="O525">
        <v>0</v>
      </c>
      <c r="P525">
        <v>3</v>
      </c>
      <c r="Q525">
        <v>0</v>
      </c>
      <c r="R525">
        <v>2</v>
      </c>
      <c r="S525">
        <v>1</v>
      </c>
      <c r="T525">
        <v>0</v>
      </c>
      <c r="U525">
        <v>0</v>
      </c>
      <c r="W525" t="str">
        <f>"17:49:41.164"</f>
        <v>17:49:41.164</v>
      </c>
      <c r="X525" t="str">
        <f>"17:49:40.864"</f>
        <v>17:49:40.864</v>
      </c>
      <c r="Y525" t="str">
        <f t="shared" si="81"/>
        <v>A7C771</v>
      </c>
      <c r="Z525">
        <v>0</v>
      </c>
      <c r="AA525">
        <v>0</v>
      </c>
      <c r="AB525">
        <v>2</v>
      </c>
      <c r="AC525">
        <v>0</v>
      </c>
      <c r="AE525">
        <v>0</v>
      </c>
      <c r="AF525">
        <v>8</v>
      </c>
      <c r="AG525">
        <v>3</v>
      </c>
      <c r="AH525">
        <v>0</v>
      </c>
      <c r="AI525">
        <v>9</v>
      </c>
      <c r="AJ525" t="s">
        <v>125</v>
      </c>
      <c r="AK525">
        <v>0</v>
      </c>
      <c r="AL525">
        <v>3</v>
      </c>
      <c r="AM525">
        <v>2</v>
      </c>
      <c r="AN525">
        <v>1</v>
      </c>
      <c r="AO525" t="s">
        <v>1097</v>
      </c>
      <c r="AP525">
        <v>43.124578</v>
      </c>
      <c r="AQ525" t="s">
        <v>514</v>
      </c>
      <c r="AR525">
        <v>-77.612722000000005</v>
      </c>
      <c r="AS525">
        <v>25</v>
      </c>
      <c r="AT525">
        <v>875</v>
      </c>
      <c r="AU525" t="s">
        <v>123</v>
      </c>
      <c r="AV525">
        <v>-114</v>
      </c>
      <c r="AW525">
        <v>4</v>
      </c>
      <c r="AX525">
        <v>-1216</v>
      </c>
      <c r="AZ525">
        <f t="shared" si="86"/>
        <v>12996</v>
      </c>
      <c r="BA525">
        <f t="shared" si="87"/>
        <v>16</v>
      </c>
      <c r="BB525" s="1">
        <f t="shared" si="88"/>
        <v>114.0701538527936</v>
      </c>
      <c r="BJ525">
        <v>1404</v>
      </c>
      <c r="BK525">
        <v>1</v>
      </c>
      <c r="BL525" t="str">
        <f t="shared" si="82"/>
        <v xml:space="preserve">N600C   </v>
      </c>
      <c r="BM525">
        <v>2</v>
      </c>
      <c r="BO525">
        <v>0</v>
      </c>
      <c r="BP525">
        <v>0</v>
      </c>
      <c r="BQ525">
        <v>0</v>
      </c>
      <c r="BR525">
        <v>1125</v>
      </c>
      <c r="BS525">
        <v>250</v>
      </c>
      <c r="BT525" t="s">
        <v>128</v>
      </c>
      <c r="BU525">
        <v>0</v>
      </c>
      <c r="BV525">
        <v>0</v>
      </c>
      <c r="BW525">
        <v>0</v>
      </c>
      <c r="BX525">
        <v>0</v>
      </c>
      <c r="CA525">
        <v>0</v>
      </c>
      <c r="CB525">
        <v>0</v>
      </c>
      <c r="CC525">
        <v>0</v>
      </c>
      <c r="CM525" t="str">
        <f>"17:49:41.171"</f>
        <v>17:49:41.171</v>
      </c>
      <c r="CN525">
        <v>171303567</v>
      </c>
      <c r="CQ525">
        <v>0</v>
      </c>
      <c r="CR525">
        <v>2016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3</v>
      </c>
      <c r="DB525">
        <v>2</v>
      </c>
      <c r="DC525">
        <v>0</v>
      </c>
      <c r="DD525">
        <v>2</v>
      </c>
      <c r="DE525">
        <v>0</v>
      </c>
      <c r="DF525">
        <v>6</v>
      </c>
      <c r="DG525">
        <v>7</v>
      </c>
      <c r="DH525" t="s">
        <v>124</v>
      </c>
      <c r="DI525">
        <v>71</v>
      </c>
      <c r="DJ525">
        <v>0</v>
      </c>
      <c r="DK525" t="s">
        <v>134</v>
      </c>
      <c r="DL525" t="s">
        <v>135</v>
      </c>
      <c r="DO525">
        <v>10325091</v>
      </c>
      <c r="DQ525">
        <v>0</v>
      </c>
      <c r="DR525">
        <v>0</v>
      </c>
      <c r="DS525">
        <v>1</v>
      </c>
      <c r="DT525">
        <v>0</v>
      </c>
      <c r="DU525">
        <v>0</v>
      </c>
      <c r="DV525">
        <v>1</v>
      </c>
      <c r="DW525">
        <v>0</v>
      </c>
      <c r="DX525">
        <v>0</v>
      </c>
      <c r="DY525">
        <v>0</v>
      </c>
      <c r="DZ525">
        <v>0</v>
      </c>
      <c r="EA525">
        <v>0</v>
      </c>
    </row>
    <row r="526" spans="1:131" x14ac:dyDescent="0.35">
      <c r="A526" s="2" t="str">
        <f>"17:49:42.397"</f>
        <v>17:49:42.397</v>
      </c>
      <c r="B526" s="4">
        <f t="shared" si="89"/>
        <v>64182.39699999999</v>
      </c>
      <c r="C526" s="4">
        <f t="shared" si="83"/>
        <v>582.39699999998993</v>
      </c>
      <c r="D526" s="3">
        <f t="shared" si="84"/>
        <v>0.74285181712962955</v>
      </c>
      <c r="E526" s="2">
        <f t="shared" si="85"/>
        <v>0.74285181712962955</v>
      </c>
      <c r="G526" t="str">
        <f t="shared" si="80"/>
        <v>FFDFD7C0</v>
      </c>
      <c r="H526" t="s">
        <v>126</v>
      </c>
      <c r="I526">
        <v>8</v>
      </c>
      <c r="J526">
        <v>1008</v>
      </c>
      <c r="K526" t="s">
        <v>129</v>
      </c>
      <c r="N526" t="s">
        <v>127</v>
      </c>
      <c r="O526">
        <v>0</v>
      </c>
      <c r="P526">
        <v>3</v>
      </c>
      <c r="Q526">
        <v>0</v>
      </c>
      <c r="R526">
        <v>2</v>
      </c>
      <c r="S526">
        <v>1</v>
      </c>
      <c r="T526">
        <v>0</v>
      </c>
      <c r="U526">
        <v>0</v>
      </c>
      <c r="W526" t="str">
        <f>"17:49:42.125"</f>
        <v>17:49:42.125</v>
      </c>
      <c r="X526" t="str">
        <f>"17:49:42.025"</f>
        <v>17:49:42.025</v>
      </c>
      <c r="Y526" t="str">
        <f t="shared" si="81"/>
        <v>A7C771</v>
      </c>
      <c r="Z526">
        <v>0</v>
      </c>
      <c r="AA526">
        <v>0</v>
      </c>
      <c r="AB526">
        <v>2</v>
      </c>
      <c r="AC526">
        <v>0</v>
      </c>
      <c r="AE526">
        <v>0</v>
      </c>
      <c r="AF526">
        <v>8</v>
      </c>
      <c r="AG526">
        <v>3</v>
      </c>
      <c r="AH526">
        <v>0</v>
      </c>
      <c r="AI526">
        <v>9</v>
      </c>
      <c r="AJ526" t="s">
        <v>125</v>
      </c>
      <c r="AK526">
        <v>0</v>
      </c>
      <c r="AL526">
        <v>3</v>
      </c>
      <c r="AM526">
        <v>2</v>
      </c>
      <c r="AN526">
        <v>1</v>
      </c>
      <c r="AO526" t="s">
        <v>1093</v>
      </c>
      <c r="AP526">
        <v>43.124557000000003</v>
      </c>
      <c r="AQ526" t="s">
        <v>1098</v>
      </c>
      <c r="AR526">
        <v>-77.613365999999999</v>
      </c>
      <c r="AS526">
        <v>25</v>
      </c>
      <c r="AT526">
        <v>850</v>
      </c>
      <c r="AU526" t="s">
        <v>123</v>
      </c>
      <c r="AV526">
        <v>-114</v>
      </c>
      <c r="AW526">
        <v>3</v>
      </c>
      <c r="AX526">
        <v>-1088</v>
      </c>
      <c r="AZ526">
        <f t="shared" si="86"/>
        <v>12996</v>
      </c>
      <c r="BA526">
        <f t="shared" si="87"/>
        <v>9</v>
      </c>
      <c r="BB526" s="1">
        <f t="shared" si="88"/>
        <v>114.03946685248927</v>
      </c>
      <c r="BJ526">
        <v>1404</v>
      </c>
      <c r="BK526">
        <v>1</v>
      </c>
      <c r="BL526" t="str">
        <f t="shared" si="82"/>
        <v xml:space="preserve">N600C   </v>
      </c>
      <c r="BM526">
        <v>2</v>
      </c>
      <c r="BO526">
        <v>0</v>
      </c>
      <c r="BP526">
        <v>0</v>
      </c>
      <c r="BQ526">
        <v>0</v>
      </c>
      <c r="BR526">
        <v>1125</v>
      </c>
      <c r="BS526">
        <v>275</v>
      </c>
      <c r="BT526" t="s">
        <v>128</v>
      </c>
      <c r="BU526">
        <v>0</v>
      </c>
      <c r="BV526">
        <v>0</v>
      </c>
      <c r="BW526">
        <v>0</v>
      </c>
      <c r="BX526">
        <v>0</v>
      </c>
      <c r="CA526">
        <v>0</v>
      </c>
      <c r="CB526">
        <v>0</v>
      </c>
      <c r="CC526">
        <v>0</v>
      </c>
      <c r="CM526" t="str">
        <f>"17:49:42.131"</f>
        <v>17:49:42.131</v>
      </c>
      <c r="CN526">
        <v>131476717</v>
      </c>
      <c r="CQ526">
        <v>0</v>
      </c>
      <c r="CR526">
        <v>2016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3</v>
      </c>
      <c r="DB526">
        <v>2</v>
      </c>
      <c r="DC526">
        <v>0</v>
      </c>
      <c r="DD526">
        <v>2</v>
      </c>
      <c r="DE526">
        <v>0</v>
      </c>
      <c r="DF526">
        <v>6</v>
      </c>
      <c r="DG526">
        <v>7</v>
      </c>
      <c r="DH526" t="s">
        <v>124</v>
      </c>
      <c r="DI526">
        <v>71</v>
      </c>
      <c r="DJ526">
        <v>0</v>
      </c>
      <c r="DK526" t="s">
        <v>134</v>
      </c>
      <c r="DL526" t="s">
        <v>135</v>
      </c>
      <c r="DO526">
        <v>10325808</v>
      </c>
      <c r="DQ526">
        <v>0</v>
      </c>
      <c r="DR526">
        <v>0</v>
      </c>
      <c r="DS526">
        <v>1</v>
      </c>
      <c r="DT526">
        <v>0</v>
      </c>
      <c r="DU526">
        <v>0</v>
      </c>
      <c r="DV526">
        <v>1</v>
      </c>
      <c r="DW526">
        <v>0</v>
      </c>
      <c r="DX526">
        <v>0</v>
      </c>
      <c r="DY526">
        <v>0</v>
      </c>
      <c r="DZ526">
        <v>0</v>
      </c>
      <c r="EA526">
        <v>0</v>
      </c>
    </row>
    <row r="527" spans="1:131" x14ac:dyDescent="0.35">
      <c r="A527" s="2" t="str">
        <f>"17:49:43.304"</f>
        <v>17:49:43.304</v>
      </c>
      <c r="B527" s="4">
        <f t="shared" si="89"/>
        <v>64183.303999999996</v>
      </c>
      <c r="C527" s="4">
        <f t="shared" si="83"/>
        <v>583.30399999999645</v>
      </c>
      <c r="D527" s="3">
        <f t="shared" si="84"/>
        <v>0.74286231481481479</v>
      </c>
      <c r="E527" s="2">
        <f t="shared" si="85"/>
        <v>0.74286231481481479</v>
      </c>
      <c r="G527" t="str">
        <f t="shared" si="80"/>
        <v>FFDFD7C0</v>
      </c>
      <c r="H527" t="s">
        <v>126</v>
      </c>
      <c r="I527">
        <v>8</v>
      </c>
      <c r="J527">
        <v>1008</v>
      </c>
      <c r="K527" t="s">
        <v>129</v>
      </c>
      <c r="N527" t="s">
        <v>127</v>
      </c>
      <c r="O527">
        <v>0</v>
      </c>
      <c r="P527">
        <v>3</v>
      </c>
      <c r="Q527">
        <v>0</v>
      </c>
      <c r="R527">
        <v>2</v>
      </c>
      <c r="S527">
        <v>1</v>
      </c>
      <c r="T527">
        <v>0</v>
      </c>
      <c r="U527">
        <v>0</v>
      </c>
      <c r="W527" t="str">
        <f>"17:49:43.133"</f>
        <v>17:49:43.133</v>
      </c>
      <c r="X527" t="str">
        <f>"17:49:42.933"</f>
        <v>17:49:42.933</v>
      </c>
      <c r="Y527" t="str">
        <f t="shared" si="81"/>
        <v>A7C771</v>
      </c>
      <c r="Z527">
        <v>0</v>
      </c>
      <c r="AA527">
        <v>0</v>
      </c>
      <c r="AB527">
        <v>2</v>
      </c>
      <c r="AC527">
        <v>0</v>
      </c>
      <c r="AE527">
        <v>0</v>
      </c>
      <c r="AF527">
        <v>8</v>
      </c>
      <c r="AG527">
        <v>3</v>
      </c>
      <c r="AH527">
        <v>0</v>
      </c>
      <c r="AI527">
        <v>9</v>
      </c>
      <c r="AJ527" t="s">
        <v>125</v>
      </c>
      <c r="AK527">
        <v>0</v>
      </c>
      <c r="AL527">
        <v>3</v>
      </c>
      <c r="AM527">
        <v>2</v>
      </c>
      <c r="AN527">
        <v>1</v>
      </c>
      <c r="AO527" t="s">
        <v>1097</v>
      </c>
      <c r="AP527">
        <v>43.124578</v>
      </c>
      <c r="AQ527" t="s">
        <v>1099</v>
      </c>
      <c r="AR527">
        <v>-77.614202000000006</v>
      </c>
      <c r="AS527">
        <v>25</v>
      </c>
      <c r="AT527">
        <v>850</v>
      </c>
      <c r="AU527" t="s">
        <v>123</v>
      </c>
      <c r="AV527">
        <v>-114</v>
      </c>
      <c r="AW527">
        <v>1</v>
      </c>
      <c r="AX527">
        <v>-896</v>
      </c>
      <c r="AZ527">
        <f t="shared" si="86"/>
        <v>12996</v>
      </c>
      <c r="BA527">
        <f t="shared" si="87"/>
        <v>1</v>
      </c>
      <c r="BB527" s="1">
        <f t="shared" si="88"/>
        <v>114.00438588054409</v>
      </c>
      <c r="BJ527">
        <v>1404</v>
      </c>
      <c r="BK527">
        <v>1</v>
      </c>
      <c r="BL527" t="str">
        <f t="shared" si="82"/>
        <v xml:space="preserve">N600C   </v>
      </c>
      <c r="BM527">
        <v>2</v>
      </c>
      <c r="BO527">
        <v>0</v>
      </c>
      <c r="BP527">
        <v>0</v>
      </c>
      <c r="BQ527">
        <v>0</v>
      </c>
      <c r="BR527">
        <v>1100</v>
      </c>
      <c r="BS527">
        <v>250</v>
      </c>
      <c r="BT527" t="s">
        <v>128</v>
      </c>
      <c r="BU527">
        <v>0</v>
      </c>
      <c r="BV527">
        <v>0</v>
      </c>
      <c r="BW527">
        <v>0</v>
      </c>
      <c r="BX527">
        <v>0</v>
      </c>
      <c r="CA527">
        <v>0</v>
      </c>
      <c r="CB527">
        <v>0</v>
      </c>
      <c r="CC527">
        <v>0</v>
      </c>
      <c r="CM527" t="str">
        <f>"17:49:43.140"</f>
        <v>17:49:43.140</v>
      </c>
      <c r="CN527">
        <v>139656978</v>
      </c>
      <c r="CQ527">
        <v>0</v>
      </c>
      <c r="CR527">
        <v>2016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3</v>
      </c>
      <c r="DB527">
        <v>2</v>
      </c>
      <c r="DC527">
        <v>0</v>
      </c>
      <c r="DD527">
        <v>2</v>
      </c>
      <c r="DE527">
        <v>0</v>
      </c>
      <c r="DF527">
        <v>6</v>
      </c>
      <c r="DG527">
        <v>7</v>
      </c>
      <c r="DH527" t="s">
        <v>124</v>
      </c>
      <c r="DI527">
        <v>71</v>
      </c>
      <c r="DJ527">
        <v>0</v>
      </c>
      <c r="DK527" t="s">
        <v>134</v>
      </c>
      <c r="DL527" t="s">
        <v>135</v>
      </c>
      <c r="DO527">
        <v>10326479</v>
      </c>
      <c r="DQ527">
        <v>0</v>
      </c>
      <c r="DR527">
        <v>0</v>
      </c>
      <c r="DS527">
        <v>1</v>
      </c>
      <c r="DT527">
        <v>0</v>
      </c>
      <c r="DU527">
        <v>0</v>
      </c>
      <c r="DV527">
        <v>1</v>
      </c>
      <c r="DW527">
        <v>0</v>
      </c>
      <c r="DX527">
        <v>0</v>
      </c>
      <c r="DY527">
        <v>0</v>
      </c>
      <c r="DZ527">
        <v>0</v>
      </c>
      <c r="EA527">
        <v>0</v>
      </c>
    </row>
    <row r="528" spans="1:131" x14ac:dyDescent="0.35">
      <c r="A528" s="2" t="str">
        <f>"17:49:44.382"</f>
        <v>17:49:44.382</v>
      </c>
      <c r="B528" s="4">
        <f t="shared" si="89"/>
        <v>64184.381999999991</v>
      </c>
      <c r="C528" s="4">
        <f t="shared" si="83"/>
        <v>584.38199999999051</v>
      </c>
      <c r="D528" s="3">
        <f t="shared" si="84"/>
        <v>0.74287479166666659</v>
      </c>
      <c r="E528" s="2">
        <f t="shared" si="85"/>
        <v>0.74287479166666659</v>
      </c>
      <c r="G528" t="str">
        <f t="shared" si="80"/>
        <v>FFDFD7C0</v>
      </c>
      <c r="H528" t="s">
        <v>126</v>
      </c>
      <c r="I528">
        <v>8</v>
      </c>
      <c r="J528">
        <v>1008</v>
      </c>
      <c r="K528" t="s">
        <v>129</v>
      </c>
      <c r="N528" t="s">
        <v>127</v>
      </c>
      <c r="O528">
        <v>0</v>
      </c>
      <c r="P528">
        <v>3</v>
      </c>
      <c r="Q528">
        <v>0</v>
      </c>
      <c r="R528">
        <v>2</v>
      </c>
      <c r="S528">
        <v>1</v>
      </c>
      <c r="T528">
        <v>0</v>
      </c>
      <c r="U528">
        <v>0</v>
      </c>
      <c r="W528" t="str">
        <f>"17:49:44.141"</f>
        <v>17:49:44.141</v>
      </c>
      <c r="X528" t="str">
        <f>"17:49:43.941"</f>
        <v>17:49:43.941</v>
      </c>
      <c r="Y528" t="str">
        <f t="shared" si="81"/>
        <v>A7C771</v>
      </c>
      <c r="Z528">
        <v>0</v>
      </c>
      <c r="AA528">
        <v>0</v>
      </c>
      <c r="AB528">
        <v>2</v>
      </c>
      <c r="AC528">
        <v>0</v>
      </c>
      <c r="AE528">
        <v>0</v>
      </c>
      <c r="AF528">
        <v>8</v>
      </c>
      <c r="AG528">
        <v>3</v>
      </c>
      <c r="AH528">
        <v>0</v>
      </c>
      <c r="AI528">
        <v>9</v>
      </c>
      <c r="AJ528" t="s">
        <v>125</v>
      </c>
      <c r="AK528">
        <v>0</v>
      </c>
      <c r="AL528">
        <v>3</v>
      </c>
      <c r="AM528">
        <v>2</v>
      </c>
      <c r="AN528">
        <v>1</v>
      </c>
      <c r="AO528" t="s">
        <v>1095</v>
      </c>
      <c r="AP528">
        <v>43.124535000000002</v>
      </c>
      <c r="AQ528" t="s">
        <v>1100</v>
      </c>
      <c r="AR528">
        <v>-77.614889000000005</v>
      </c>
      <c r="AS528">
        <v>25</v>
      </c>
      <c r="AT528">
        <v>825</v>
      </c>
      <c r="AU528" t="s">
        <v>123</v>
      </c>
      <c r="AV528">
        <v>-115</v>
      </c>
      <c r="AW528">
        <v>-2</v>
      </c>
      <c r="AX528">
        <v>-704</v>
      </c>
      <c r="AZ528">
        <f t="shared" si="86"/>
        <v>13225</v>
      </c>
      <c r="BA528">
        <f t="shared" si="87"/>
        <v>4</v>
      </c>
      <c r="BB528" s="1">
        <f t="shared" si="88"/>
        <v>115.0173899895142</v>
      </c>
      <c r="BJ528">
        <v>1404</v>
      </c>
      <c r="BK528">
        <v>1</v>
      </c>
      <c r="BL528" t="str">
        <f t="shared" si="82"/>
        <v xml:space="preserve">N600C   </v>
      </c>
      <c r="BM528">
        <v>2</v>
      </c>
      <c r="BO528">
        <v>0</v>
      </c>
      <c r="BP528">
        <v>0</v>
      </c>
      <c r="BQ528">
        <v>0</v>
      </c>
      <c r="BR528">
        <v>1100</v>
      </c>
      <c r="BS528">
        <v>275</v>
      </c>
      <c r="BT528" t="s">
        <v>128</v>
      </c>
      <c r="BU528">
        <v>0</v>
      </c>
      <c r="BV528">
        <v>0</v>
      </c>
      <c r="BW528">
        <v>0</v>
      </c>
      <c r="BX528">
        <v>0</v>
      </c>
      <c r="CA528">
        <v>0</v>
      </c>
      <c r="CB528">
        <v>0</v>
      </c>
      <c r="CC528">
        <v>0</v>
      </c>
      <c r="CM528" t="str">
        <f>"17:49:44.148"</f>
        <v>17:49:44.148</v>
      </c>
      <c r="CN528">
        <v>147842862</v>
      </c>
      <c r="CQ528">
        <v>0</v>
      </c>
      <c r="CR528">
        <v>2016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3</v>
      </c>
      <c r="DB528">
        <v>2</v>
      </c>
      <c r="DC528">
        <v>0</v>
      </c>
      <c r="DD528">
        <v>2</v>
      </c>
      <c r="DE528">
        <v>0</v>
      </c>
      <c r="DF528">
        <v>6</v>
      </c>
      <c r="DG528">
        <v>7</v>
      </c>
      <c r="DH528" t="s">
        <v>124</v>
      </c>
      <c r="DI528">
        <v>71</v>
      </c>
      <c r="DJ528">
        <v>1</v>
      </c>
      <c r="DK528" t="s">
        <v>134</v>
      </c>
      <c r="DL528" t="s">
        <v>135</v>
      </c>
      <c r="DO528">
        <v>11701839</v>
      </c>
      <c r="DQ528">
        <v>0</v>
      </c>
      <c r="DR528">
        <v>0</v>
      </c>
      <c r="DS528">
        <v>1</v>
      </c>
      <c r="DT528">
        <v>0</v>
      </c>
      <c r="DU528">
        <v>0</v>
      </c>
      <c r="DV528">
        <v>1</v>
      </c>
      <c r="DW528">
        <v>0</v>
      </c>
      <c r="DX528">
        <v>0</v>
      </c>
      <c r="DY528">
        <v>0</v>
      </c>
      <c r="DZ528">
        <v>0</v>
      </c>
      <c r="EA528">
        <v>0</v>
      </c>
    </row>
    <row r="529" spans="1:131" x14ac:dyDescent="0.35">
      <c r="A529" s="2" t="str">
        <f>"17:49:45.273"</f>
        <v>17:49:45.273</v>
      </c>
      <c r="B529" s="4">
        <f t="shared" si="89"/>
        <v>64185.273000000001</v>
      </c>
      <c r="C529" s="4">
        <f t="shared" si="83"/>
        <v>585.27300000000105</v>
      </c>
      <c r="D529" s="3">
        <f t="shared" si="84"/>
        <v>0.74288510416666664</v>
      </c>
      <c r="E529" s="2">
        <f t="shared" si="85"/>
        <v>0.74288510416666664</v>
      </c>
      <c r="G529" t="str">
        <f t="shared" si="80"/>
        <v>FFDFD7C0</v>
      </c>
      <c r="H529" t="s">
        <v>126</v>
      </c>
      <c r="I529">
        <v>8</v>
      </c>
      <c r="J529">
        <v>1008</v>
      </c>
      <c r="K529" t="s">
        <v>129</v>
      </c>
      <c r="N529" t="s">
        <v>127</v>
      </c>
      <c r="O529">
        <v>0</v>
      </c>
      <c r="P529">
        <v>3</v>
      </c>
      <c r="Q529">
        <v>0</v>
      </c>
      <c r="R529">
        <v>2</v>
      </c>
      <c r="S529">
        <v>1</v>
      </c>
      <c r="T529">
        <v>0</v>
      </c>
      <c r="U529">
        <v>0</v>
      </c>
      <c r="W529" t="str">
        <f>"17:49:45.070"</f>
        <v>17:49:45.070</v>
      </c>
      <c r="X529" t="str">
        <f>"17:49:45.070"</f>
        <v>17:49:45.070</v>
      </c>
      <c r="Y529" t="str">
        <f t="shared" si="81"/>
        <v>A7C771</v>
      </c>
      <c r="Z529">
        <v>0</v>
      </c>
      <c r="AA529">
        <v>0</v>
      </c>
      <c r="AB529">
        <v>2</v>
      </c>
      <c r="AC529">
        <v>0</v>
      </c>
      <c r="AE529">
        <v>0</v>
      </c>
      <c r="AF529">
        <v>8</v>
      </c>
      <c r="AG529">
        <v>3</v>
      </c>
      <c r="AH529">
        <v>0</v>
      </c>
      <c r="AI529">
        <v>9</v>
      </c>
      <c r="AJ529" t="s">
        <v>125</v>
      </c>
      <c r="AK529">
        <v>0</v>
      </c>
      <c r="AL529">
        <v>3</v>
      </c>
      <c r="AM529">
        <v>2</v>
      </c>
      <c r="AN529">
        <v>1</v>
      </c>
      <c r="AO529" t="s">
        <v>1093</v>
      </c>
      <c r="AP529">
        <v>43.124557000000003</v>
      </c>
      <c r="AQ529" t="s">
        <v>1101</v>
      </c>
      <c r="AR529">
        <v>-77.615596999999994</v>
      </c>
      <c r="AS529">
        <v>25</v>
      </c>
      <c r="AT529">
        <v>825</v>
      </c>
      <c r="AU529" t="s">
        <v>123</v>
      </c>
      <c r="AV529">
        <v>-114</v>
      </c>
      <c r="AW529">
        <v>-4</v>
      </c>
      <c r="AX529">
        <v>-704</v>
      </c>
      <c r="AZ529">
        <f t="shared" si="86"/>
        <v>12996</v>
      </c>
      <c r="BA529">
        <f t="shared" si="87"/>
        <v>16</v>
      </c>
      <c r="BB529" s="1">
        <f t="shared" si="88"/>
        <v>114.0701538527936</v>
      </c>
      <c r="BJ529">
        <v>1404</v>
      </c>
      <c r="BK529">
        <v>1</v>
      </c>
      <c r="BL529" t="str">
        <f t="shared" si="82"/>
        <v xml:space="preserve">N600C   </v>
      </c>
      <c r="BM529">
        <v>2</v>
      </c>
      <c r="BO529">
        <v>0</v>
      </c>
      <c r="BP529">
        <v>0</v>
      </c>
      <c r="BQ529">
        <v>0</v>
      </c>
      <c r="BR529">
        <v>1075</v>
      </c>
      <c r="BS529">
        <v>250</v>
      </c>
      <c r="BT529" t="s">
        <v>128</v>
      </c>
      <c r="BU529">
        <v>0</v>
      </c>
      <c r="BV529">
        <v>0</v>
      </c>
      <c r="BW529">
        <v>0</v>
      </c>
      <c r="BX529">
        <v>0</v>
      </c>
      <c r="CA529">
        <v>0</v>
      </c>
      <c r="CB529">
        <v>0</v>
      </c>
      <c r="CC529">
        <v>0</v>
      </c>
      <c r="CM529" t="str">
        <f>"17:49:45.076"</f>
        <v>17:49:45.076</v>
      </c>
      <c r="CN529">
        <v>76028973</v>
      </c>
      <c r="CQ529">
        <v>0</v>
      </c>
      <c r="CR529">
        <v>2016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3</v>
      </c>
      <c r="DB529">
        <v>2</v>
      </c>
      <c r="DC529">
        <v>0</v>
      </c>
      <c r="DD529">
        <v>2</v>
      </c>
      <c r="DE529">
        <v>0</v>
      </c>
      <c r="DF529">
        <v>6</v>
      </c>
      <c r="DG529">
        <v>7</v>
      </c>
      <c r="DH529" t="s">
        <v>124</v>
      </c>
      <c r="DI529">
        <v>407</v>
      </c>
      <c r="DJ529">
        <v>3</v>
      </c>
      <c r="DK529" t="s">
        <v>132</v>
      </c>
      <c r="DL529" t="s">
        <v>133</v>
      </c>
      <c r="DO529">
        <v>1806395</v>
      </c>
      <c r="DQ529">
        <v>0</v>
      </c>
      <c r="DR529">
        <v>0</v>
      </c>
      <c r="DS529">
        <v>1</v>
      </c>
      <c r="DT529">
        <v>0</v>
      </c>
      <c r="DU529">
        <v>0</v>
      </c>
      <c r="DV529">
        <v>1</v>
      </c>
      <c r="DW529">
        <v>0</v>
      </c>
      <c r="DX529">
        <v>0</v>
      </c>
      <c r="DY529">
        <v>0</v>
      </c>
      <c r="DZ529">
        <v>0</v>
      </c>
      <c r="EA529">
        <v>0</v>
      </c>
    </row>
    <row r="530" spans="1:131" x14ac:dyDescent="0.35">
      <c r="A530" s="2" t="str">
        <f>"17:49:46.446"</f>
        <v>17:49:46.446</v>
      </c>
      <c r="B530" s="4">
        <f t="shared" si="89"/>
        <v>64186.446000000004</v>
      </c>
      <c r="C530" s="4">
        <f t="shared" si="83"/>
        <v>586.44600000000355</v>
      </c>
      <c r="D530" s="3">
        <f t="shared" si="84"/>
        <v>0.74289868055555563</v>
      </c>
      <c r="E530" s="2">
        <f t="shared" si="85"/>
        <v>0.74289868055555563</v>
      </c>
      <c r="G530" t="str">
        <f t="shared" si="80"/>
        <v>FFDFD7C0</v>
      </c>
      <c r="H530" t="s">
        <v>126</v>
      </c>
      <c r="I530">
        <v>8</v>
      </c>
      <c r="J530">
        <v>1008</v>
      </c>
      <c r="K530" t="s">
        <v>129</v>
      </c>
      <c r="N530" t="s">
        <v>127</v>
      </c>
      <c r="O530">
        <v>0</v>
      </c>
      <c r="P530">
        <v>3</v>
      </c>
      <c r="Q530">
        <v>0</v>
      </c>
      <c r="R530">
        <v>2</v>
      </c>
      <c r="S530">
        <v>1</v>
      </c>
      <c r="T530">
        <v>0</v>
      </c>
      <c r="U530">
        <v>0</v>
      </c>
      <c r="W530" t="str">
        <f>"17:49:46.211"</f>
        <v>17:49:46.211</v>
      </c>
      <c r="X530" t="str">
        <f>"17:49:45.911"</f>
        <v>17:49:45.911</v>
      </c>
      <c r="Y530" t="str">
        <f t="shared" si="81"/>
        <v>A7C771</v>
      </c>
      <c r="Z530">
        <v>0</v>
      </c>
      <c r="AA530">
        <v>0</v>
      </c>
      <c r="AB530">
        <v>2</v>
      </c>
      <c r="AC530">
        <v>0</v>
      </c>
      <c r="AE530">
        <v>0</v>
      </c>
      <c r="AF530">
        <v>8</v>
      </c>
      <c r="AG530">
        <v>3</v>
      </c>
      <c r="AH530">
        <v>0</v>
      </c>
      <c r="AI530">
        <v>9</v>
      </c>
      <c r="AJ530" t="s">
        <v>125</v>
      </c>
      <c r="AK530">
        <v>0</v>
      </c>
      <c r="AL530">
        <v>3</v>
      </c>
      <c r="AM530">
        <v>2</v>
      </c>
      <c r="AN530">
        <v>1</v>
      </c>
      <c r="AO530" t="s">
        <v>1092</v>
      </c>
      <c r="AP530">
        <v>43.124491999999996</v>
      </c>
      <c r="AQ530" t="s">
        <v>1102</v>
      </c>
      <c r="AR530">
        <v>-77.616370000000003</v>
      </c>
      <c r="AS530">
        <v>25</v>
      </c>
      <c r="AT530">
        <v>800</v>
      </c>
      <c r="AU530" t="s">
        <v>123</v>
      </c>
      <c r="AV530">
        <v>-114</v>
      </c>
      <c r="AW530">
        <v>-5</v>
      </c>
      <c r="AX530">
        <v>-640</v>
      </c>
      <c r="AZ530">
        <f t="shared" si="86"/>
        <v>12996</v>
      </c>
      <c r="BA530">
        <f t="shared" si="87"/>
        <v>25</v>
      </c>
      <c r="BB530" s="1">
        <f t="shared" si="88"/>
        <v>114.10959644131601</v>
      </c>
      <c r="BJ530">
        <v>1404</v>
      </c>
      <c r="BK530">
        <v>1</v>
      </c>
      <c r="BL530" t="str">
        <f t="shared" si="82"/>
        <v xml:space="preserve">N600C   </v>
      </c>
      <c r="BM530">
        <v>2</v>
      </c>
      <c r="BO530">
        <v>0</v>
      </c>
      <c r="BP530">
        <v>0</v>
      </c>
      <c r="BQ530">
        <v>0</v>
      </c>
      <c r="BR530">
        <v>1075</v>
      </c>
      <c r="BS530">
        <v>275</v>
      </c>
      <c r="BT530" t="s">
        <v>128</v>
      </c>
      <c r="BU530">
        <v>0</v>
      </c>
      <c r="BV530">
        <v>0</v>
      </c>
      <c r="BW530">
        <v>0</v>
      </c>
      <c r="BX530">
        <v>0</v>
      </c>
      <c r="CA530">
        <v>0</v>
      </c>
      <c r="CB530">
        <v>0</v>
      </c>
      <c r="CC530">
        <v>0</v>
      </c>
      <c r="CM530" t="str">
        <f>"17:49:46.212"</f>
        <v>17:49:46.212</v>
      </c>
      <c r="CN530">
        <v>212231217</v>
      </c>
      <c r="CQ530">
        <v>0</v>
      </c>
      <c r="CR530">
        <v>2016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3</v>
      </c>
      <c r="DB530">
        <v>2</v>
      </c>
      <c r="DC530">
        <v>0</v>
      </c>
      <c r="DD530">
        <v>2</v>
      </c>
      <c r="DE530">
        <v>0</v>
      </c>
      <c r="DF530">
        <v>6</v>
      </c>
      <c r="DG530">
        <v>7</v>
      </c>
      <c r="DH530" t="s">
        <v>124</v>
      </c>
      <c r="DI530">
        <v>407</v>
      </c>
      <c r="DJ530">
        <v>3</v>
      </c>
      <c r="DK530" t="s">
        <v>132</v>
      </c>
      <c r="DL530" t="s">
        <v>133</v>
      </c>
      <c r="DO530">
        <v>1807618</v>
      </c>
      <c r="DQ530">
        <v>0</v>
      </c>
      <c r="DR530">
        <v>0</v>
      </c>
      <c r="DS530">
        <v>1</v>
      </c>
      <c r="DT530">
        <v>0</v>
      </c>
      <c r="DU530">
        <v>0</v>
      </c>
      <c r="DV530">
        <v>1</v>
      </c>
      <c r="DW530">
        <v>0</v>
      </c>
      <c r="DX530">
        <v>0</v>
      </c>
      <c r="DY530">
        <v>0</v>
      </c>
      <c r="DZ530">
        <v>0</v>
      </c>
      <c r="EA530">
        <v>0</v>
      </c>
    </row>
    <row r="531" spans="1:131" x14ac:dyDescent="0.35">
      <c r="A531" s="2" t="str">
        <f>"17:49:47.524"</f>
        <v>17:49:47.524</v>
      </c>
      <c r="B531" s="4">
        <f t="shared" si="89"/>
        <v>64187.524000000005</v>
      </c>
      <c r="C531" s="4">
        <f t="shared" si="83"/>
        <v>587.52400000000489</v>
      </c>
      <c r="D531" s="3">
        <f t="shared" si="84"/>
        <v>0.74291115740740743</v>
      </c>
      <c r="E531" s="2">
        <f t="shared" si="85"/>
        <v>0.74291115740740743</v>
      </c>
      <c r="G531" t="str">
        <f t="shared" si="80"/>
        <v>FFDFD7C0</v>
      </c>
      <c r="H531" t="s">
        <v>126</v>
      </c>
      <c r="I531">
        <v>8</v>
      </c>
      <c r="J531">
        <v>1008</v>
      </c>
      <c r="K531" t="s">
        <v>129</v>
      </c>
      <c r="N531" t="s">
        <v>127</v>
      </c>
      <c r="O531">
        <v>0</v>
      </c>
      <c r="P531">
        <v>3</v>
      </c>
      <c r="Q531">
        <v>0</v>
      </c>
      <c r="R531">
        <v>2</v>
      </c>
      <c r="S531">
        <v>1</v>
      </c>
      <c r="T531">
        <v>0</v>
      </c>
      <c r="U531">
        <v>0</v>
      </c>
      <c r="W531" t="str">
        <f>"17:49:47.227"</f>
        <v>17:49:47.227</v>
      </c>
      <c r="X531" t="str">
        <f>"17:49:47.127"</f>
        <v>17:49:47.127</v>
      </c>
      <c r="Y531" t="str">
        <f t="shared" si="81"/>
        <v>A7C771</v>
      </c>
      <c r="Z531">
        <v>0</v>
      </c>
      <c r="AA531">
        <v>0</v>
      </c>
      <c r="AB531">
        <v>2</v>
      </c>
      <c r="AC531">
        <v>0</v>
      </c>
      <c r="AE531">
        <v>0</v>
      </c>
      <c r="AF531">
        <v>8</v>
      </c>
      <c r="AG531">
        <v>3</v>
      </c>
      <c r="AH531">
        <v>0</v>
      </c>
      <c r="AI531">
        <v>9</v>
      </c>
      <c r="AJ531" t="s">
        <v>125</v>
      </c>
      <c r="AK531">
        <v>0</v>
      </c>
      <c r="AL531">
        <v>3</v>
      </c>
      <c r="AM531">
        <v>2</v>
      </c>
      <c r="AN531">
        <v>1</v>
      </c>
      <c r="AO531" t="s">
        <v>1087</v>
      </c>
      <c r="AP531">
        <v>43.124448999999998</v>
      </c>
      <c r="AQ531" t="s">
        <v>1103</v>
      </c>
      <c r="AR531">
        <v>-77.617056000000005</v>
      </c>
      <c r="AS531">
        <v>25</v>
      </c>
      <c r="AT531">
        <v>800</v>
      </c>
      <c r="AU531" t="s">
        <v>123</v>
      </c>
      <c r="AV531">
        <v>-114</v>
      </c>
      <c r="AW531">
        <v>-6</v>
      </c>
      <c r="AX531">
        <v>-576</v>
      </c>
      <c r="AZ531">
        <f t="shared" si="86"/>
        <v>12996</v>
      </c>
      <c r="BA531">
        <f t="shared" si="87"/>
        <v>36</v>
      </c>
      <c r="BB531" s="1">
        <f t="shared" si="88"/>
        <v>114.15778554264269</v>
      </c>
      <c r="BJ531">
        <v>1404</v>
      </c>
      <c r="BK531">
        <v>1</v>
      </c>
      <c r="BL531" t="str">
        <f t="shared" si="82"/>
        <v xml:space="preserve">N600C   </v>
      </c>
      <c r="BM531">
        <v>2</v>
      </c>
      <c r="BO531">
        <v>0</v>
      </c>
      <c r="BP531">
        <v>0</v>
      </c>
      <c r="BQ531">
        <v>0</v>
      </c>
      <c r="BR531">
        <v>1025</v>
      </c>
      <c r="BS531">
        <v>225</v>
      </c>
      <c r="BT531" t="s">
        <v>128</v>
      </c>
      <c r="BU531">
        <v>0</v>
      </c>
      <c r="BV531">
        <v>0</v>
      </c>
      <c r="BW531">
        <v>0</v>
      </c>
      <c r="BX531">
        <v>0</v>
      </c>
      <c r="CA531">
        <v>0</v>
      </c>
      <c r="CB531">
        <v>0</v>
      </c>
      <c r="CC531">
        <v>0</v>
      </c>
      <c r="CM531" t="str">
        <f>"17:49:47.228"</f>
        <v>17:49:47.228</v>
      </c>
      <c r="CN531">
        <v>228401321</v>
      </c>
      <c r="CQ531">
        <v>0</v>
      </c>
      <c r="CR531">
        <v>2016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3</v>
      </c>
      <c r="DB531">
        <v>2</v>
      </c>
      <c r="DC531">
        <v>0</v>
      </c>
      <c r="DD531">
        <v>2</v>
      </c>
      <c r="DE531">
        <v>0</v>
      </c>
      <c r="DF531">
        <v>6</v>
      </c>
      <c r="DG531">
        <v>7</v>
      </c>
      <c r="DH531" t="s">
        <v>124</v>
      </c>
      <c r="DI531">
        <v>71</v>
      </c>
      <c r="DJ531">
        <v>0</v>
      </c>
      <c r="DK531" t="s">
        <v>134</v>
      </c>
      <c r="DL531" t="s">
        <v>135</v>
      </c>
      <c r="DO531">
        <v>10329319</v>
      </c>
      <c r="DQ531">
        <v>0</v>
      </c>
      <c r="DR531">
        <v>0</v>
      </c>
      <c r="DS531">
        <v>1</v>
      </c>
      <c r="DT531">
        <v>0</v>
      </c>
      <c r="DU531">
        <v>0</v>
      </c>
      <c r="DV531">
        <v>1</v>
      </c>
      <c r="DW531">
        <v>0</v>
      </c>
      <c r="DX531">
        <v>0</v>
      </c>
      <c r="DY531">
        <v>0</v>
      </c>
      <c r="DZ531">
        <v>0</v>
      </c>
      <c r="EA531">
        <v>0</v>
      </c>
    </row>
    <row r="532" spans="1:131" x14ac:dyDescent="0.35">
      <c r="A532" s="2" t="str">
        <f>"17:49:48.290"</f>
        <v>17:49:48.290</v>
      </c>
      <c r="B532" s="4">
        <f t="shared" si="89"/>
        <v>64188.290000000008</v>
      </c>
      <c r="C532" s="4">
        <f t="shared" si="83"/>
        <v>588.29000000000815</v>
      </c>
      <c r="D532" s="3">
        <f t="shared" si="84"/>
        <v>0.7429200231481482</v>
      </c>
      <c r="E532" s="2">
        <f t="shared" si="85"/>
        <v>0.7429200231481482</v>
      </c>
      <c r="G532" t="str">
        <f t="shared" si="80"/>
        <v>FFDFD7C0</v>
      </c>
      <c r="H532" t="s">
        <v>126</v>
      </c>
      <c r="I532">
        <v>8</v>
      </c>
      <c r="J532">
        <v>1008</v>
      </c>
      <c r="K532" t="s">
        <v>129</v>
      </c>
      <c r="N532" t="s">
        <v>127</v>
      </c>
      <c r="O532">
        <v>0</v>
      </c>
      <c r="P532">
        <v>3</v>
      </c>
      <c r="Q532">
        <v>0</v>
      </c>
      <c r="R532">
        <v>2</v>
      </c>
      <c r="S532">
        <v>1</v>
      </c>
      <c r="T532">
        <v>0</v>
      </c>
      <c r="U532">
        <v>0</v>
      </c>
      <c r="W532" t="str">
        <f>"17:49:48.070"</f>
        <v>17:49:48.070</v>
      </c>
      <c r="X532" t="str">
        <f>"17:49:47.570"</f>
        <v>17:49:47.570</v>
      </c>
      <c r="Y532" t="str">
        <f t="shared" si="81"/>
        <v>A7C771</v>
      </c>
      <c r="Z532">
        <v>0</v>
      </c>
      <c r="AA532">
        <v>0</v>
      </c>
      <c r="AB532">
        <v>2</v>
      </c>
      <c r="AC532">
        <v>0</v>
      </c>
      <c r="AE532">
        <v>0</v>
      </c>
      <c r="AF532">
        <v>8</v>
      </c>
      <c r="AG532">
        <v>3</v>
      </c>
      <c r="AH532">
        <v>0</v>
      </c>
      <c r="AI532">
        <v>9</v>
      </c>
      <c r="AJ532" t="s">
        <v>125</v>
      </c>
      <c r="AK532">
        <v>0</v>
      </c>
      <c r="AL532">
        <v>3</v>
      </c>
      <c r="AM532">
        <v>2</v>
      </c>
      <c r="AN532">
        <v>1</v>
      </c>
      <c r="AO532" t="s">
        <v>1087</v>
      </c>
      <c r="AP532">
        <v>43.124448999999998</v>
      </c>
      <c r="AQ532" t="s">
        <v>1104</v>
      </c>
      <c r="AR532">
        <v>-77.617763999999994</v>
      </c>
      <c r="AS532">
        <v>25</v>
      </c>
      <c r="AT532">
        <v>800</v>
      </c>
      <c r="AU532" t="s">
        <v>123</v>
      </c>
      <c r="AV532">
        <v>-114</v>
      </c>
      <c r="AW532">
        <v>-6</v>
      </c>
      <c r="AX532">
        <v>-576</v>
      </c>
      <c r="AZ532">
        <f t="shared" si="86"/>
        <v>12996</v>
      </c>
      <c r="BA532">
        <f t="shared" si="87"/>
        <v>36</v>
      </c>
      <c r="BB532" s="1">
        <f t="shared" si="88"/>
        <v>114.15778554264269</v>
      </c>
      <c r="BJ532">
        <v>1404</v>
      </c>
      <c r="BK532">
        <v>1</v>
      </c>
      <c r="BL532" t="str">
        <f t="shared" si="82"/>
        <v xml:space="preserve">N600C   </v>
      </c>
      <c r="BM532">
        <v>2</v>
      </c>
      <c r="BO532">
        <v>0</v>
      </c>
      <c r="BP532">
        <v>0</v>
      </c>
      <c r="BQ532">
        <v>0</v>
      </c>
      <c r="BR532">
        <v>1025</v>
      </c>
      <c r="BS532">
        <v>225</v>
      </c>
      <c r="BT532" t="s">
        <v>128</v>
      </c>
      <c r="BU532">
        <v>0</v>
      </c>
      <c r="BV532">
        <v>0</v>
      </c>
      <c r="BW532">
        <v>0</v>
      </c>
      <c r="BX532">
        <v>0</v>
      </c>
      <c r="CA532">
        <v>0</v>
      </c>
      <c r="CB532">
        <v>0</v>
      </c>
      <c r="CC532">
        <v>0</v>
      </c>
      <c r="CM532" t="str">
        <f>"17:49:48.077"</f>
        <v>17:49:48.077</v>
      </c>
      <c r="CN532">
        <v>76551277</v>
      </c>
      <c r="CQ532">
        <v>0</v>
      </c>
      <c r="CR532">
        <v>2016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3</v>
      </c>
      <c r="DB532">
        <v>2</v>
      </c>
      <c r="DC532">
        <v>0</v>
      </c>
      <c r="DD532">
        <v>2</v>
      </c>
      <c r="DE532">
        <v>0</v>
      </c>
      <c r="DF532">
        <v>7</v>
      </c>
      <c r="DG532">
        <v>7</v>
      </c>
      <c r="DH532" t="s">
        <v>124</v>
      </c>
      <c r="DI532">
        <v>71</v>
      </c>
      <c r="DJ532">
        <v>0</v>
      </c>
      <c r="DK532" t="s">
        <v>134</v>
      </c>
      <c r="DL532" t="s">
        <v>135</v>
      </c>
      <c r="DO532">
        <v>10329872</v>
      </c>
      <c r="DQ532">
        <v>0</v>
      </c>
      <c r="DR532">
        <v>0</v>
      </c>
      <c r="DS532">
        <v>1</v>
      </c>
      <c r="DT532">
        <v>0</v>
      </c>
      <c r="DU532">
        <v>0</v>
      </c>
      <c r="DV532">
        <v>1</v>
      </c>
      <c r="DW532">
        <v>0</v>
      </c>
      <c r="DX532">
        <v>0</v>
      </c>
      <c r="DY532">
        <v>0</v>
      </c>
      <c r="DZ532">
        <v>0</v>
      </c>
      <c r="EA532">
        <v>0</v>
      </c>
    </row>
    <row r="533" spans="1:131" x14ac:dyDescent="0.35">
      <c r="A533" s="2" t="str">
        <f>"17:49:49.382"</f>
        <v>17:49:49.382</v>
      </c>
      <c r="B533" s="4">
        <f t="shared" si="89"/>
        <v>64189.381999999998</v>
      </c>
      <c r="C533" s="4">
        <f t="shared" si="83"/>
        <v>589.38199999999779</v>
      </c>
      <c r="D533" s="3">
        <f t="shared" si="84"/>
        <v>0.74293266203703701</v>
      </c>
      <c r="E533" s="2">
        <f t="shared" si="85"/>
        <v>0.74293266203703701</v>
      </c>
      <c r="G533" t="str">
        <f t="shared" si="80"/>
        <v>FFDFD7C0</v>
      </c>
      <c r="H533" t="s">
        <v>126</v>
      </c>
      <c r="I533">
        <v>8</v>
      </c>
      <c r="J533">
        <v>1008</v>
      </c>
      <c r="K533" t="s">
        <v>129</v>
      </c>
      <c r="N533" t="s">
        <v>127</v>
      </c>
      <c r="O533">
        <v>0</v>
      </c>
      <c r="P533">
        <v>3</v>
      </c>
      <c r="Q533">
        <v>0</v>
      </c>
      <c r="R533">
        <v>2</v>
      </c>
      <c r="S533">
        <v>1</v>
      </c>
      <c r="T533">
        <v>0</v>
      </c>
      <c r="U533">
        <v>0</v>
      </c>
      <c r="W533" t="str">
        <f>"17:49:49.055"</f>
        <v>17:49:49.055</v>
      </c>
      <c r="X533" t="str">
        <f>"17:49:49.055"</f>
        <v>17:49:49.055</v>
      </c>
      <c r="Y533" t="str">
        <f t="shared" si="81"/>
        <v>A7C771</v>
      </c>
      <c r="Z533">
        <v>0</v>
      </c>
      <c r="AA533">
        <v>0</v>
      </c>
      <c r="AB533">
        <v>2</v>
      </c>
      <c r="AC533">
        <v>0</v>
      </c>
      <c r="AE533">
        <v>0</v>
      </c>
      <c r="AF533">
        <v>8</v>
      </c>
      <c r="AG533">
        <v>3</v>
      </c>
      <c r="AH533">
        <v>0</v>
      </c>
      <c r="AI533">
        <v>9</v>
      </c>
      <c r="AJ533" t="s">
        <v>125</v>
      </c>
      <c r="AK533">
        <v>0</v>
      </c>
      <c r="AL533">
        <v>3</v>
      </c>
      <c r="AM533">
        <v>2</v>
      </c>
      <c r="AN533">
        <v>1</v>
      </c>
      <c r="AO533" t="s">
        <v>1087</v>
      </c>
      <c r="AP533">
        <v>43.124448999999998</v>
      </c>
      <c r="AQ533" t="s">
        <v>1105</v>
      </c>
      <c r="AR533">
        <v>-77.618472999999994</v>
      </c>
      <c r="AS533">
        <v>25</v>
      </c>
      <c r="AT533">
        <v>775</v>
      </c>
      <c r="AU533" t="s">
        <v>123</v>
      </c>
      <c r="AV533">
        <v>-114</v>
      </c>
      <c r="AW533">
        <v>-4</v>
      </c>
      <c r="AX533">
        <v>-512</v>
      </c>
      <c r="AZ533">
        <f t="shared" si="86"/>
        <v>12996</v>
      </c>
      <c r="BA533">
        <f t="shared" si="87"/>
        <v>16</v>
      </c>
      <c r="BB533" s="1">
        <f t="shared" si="88"/>
        <v>114.0701538527936</v>
      </c>
      <c r="BJ533">
        <v>1404</v>
      </c>
      <c r="BK533">
        <v>1</v>
      </c>
      <c r="BL533" t="str">
        <f t="shared" si="82"/>
        <v xml:space="preserve">N600C   </v>
      </c>
      <c r="BM533">
        <v>2</v>
      </c>
      <c r="BO533">
        <v>0</v>
      </c>
      <c r="BP533">
        <v>0</v>
      </c>
      <c r="BQ533">
        <v>0</v>
      </c>
      <c r="BR533">
        <v>1025</v>
      </c>
      <c r="BS533">
        <v>250</v>
      </c>
      <c r="BT533" t="s">
        <v>128</v>
      </c>
      <c r="BU533">
        <v>0</v>
      </c>
      <c r="BV533">
        <v>0</v>
      </c>
      <c r="BW533">
        <v>0</v>
      </c>
      <c r="BX533">
        <v>0</v>
      </c>
      <c r="CA533">
        <v>0</v>
      </c>
      <c r="CB533">
        <v>0</v>
      </c>
      <c r="CC533">
        <v>0</v>
      </c>
      <c r="CM533" t="str">
        <f>"17:49:49.061"</f>
        <v>17:49:49.061</v>
      </c>
      <c r="CN533">
        <v>60735230</v>
      </c>
      <c r="CQ533">
        <v>0</v>
      </c>
      <c r="CR533">
        <v>2016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3</v>
      </c>
      <c r="DB533">
        <v>2</v>
      </c>
      <c r="DC533">
        <v>0</v>
      </c>
      <c r="DD533">
        <v>2</v>
      </c>
      <c r="DE533">
        <v>0</v>
      </c>
      <c r="DF533">
        <v>7</v>
      </c>
      <c r="DG533">
        <v>7</v>
      </c>
      <c r="DH533" t="s">
        <v>124</v>
      </c>
      <c r="DI533">
        <v>407</v>
      </c>
      <c r="DJ533">
        <v>3</v>
      </c>
      <c r="DK533" t="s">
        <v>132</v>
      </c>
      <c r="DL533" t="s">
        <v>133</v>
      </c>
      <c r="DO533">
        <v>1810355</v>
      </c>
      <c r="DQ533">
        <v>0</v>
      </c>
      <c r="DR533">
        <v>0</v>
      </c>
      <c r="DS533">
        <v>1</v>
      </c>
      <c r="DT533">
        <v>0</v>
      </c>
      <c r="DU533">
        <v>0</v>
      </c>
      <c r="DV533">
        <v>1</v>
      </c>
      <c r="DW533">
        <v>0</v>
      </c>
      <c r="DX533">
        <v>0</v>
      </c>
      <c r="DY533">
        <v>0</v>
      </c>
      <c r="DZ533">
        <v>0</v>
      </c>
      <c r="EA533">
        <v>0</v>
      </c>
    </row>
    <row r="534" spans="1:131" x14ac:dyDescent="0.35">
      <c r="A534" s="2" t="str">
        <f>"17:49:50.257"</f>
        <v>17:49:50.257</v>
      </c>
      <c r="B534" s="4">
        <f t="shared" si="89"/>
        <v>64190.257000000005</v>
      </c>
      <c r="C534" s="4">
        <f t="shared" si="83"/>
        <v>590.25700000000506</v>
      </c>
      <c r="D534" s="3">
        <f t="shared" si="84"/>
        <v>0.74294278935185187</v>
      </c>
      <c r="E534" s="2">
        <f t="shared" si="85"/>
        <v>0.74294278935185187</v>
      </c>
      <c r="G534" t="str">
        <f t="shared" si="80"/>
        <v>FFDFD7C0</v>
      </c>
      <c r="H534" t="s">
        <v>126</v>
      </c>
      <c r="I534">
        <v>8</v>
      </c>
      <c r="J534">
        <v>1008</v>
      </c>
      <c r="K534" t="s">
        <v>129</v>
      </c>
      <c r="N534" t="s">
        <v>127</v>
      </c>
      <c r="O534">
        <v>0</v>
      </c>
      <c r="P534">
        <v>3</v>
      </c>
      <c r="Q534">
        <v>0</v>
      </c>
      <c r="R534">
        <v>2</v>
      </c>
      <c r="S534">
        <v>1</v>
      </c>
      <c r="T534">
        <v>0</v>
      </c>
      <c r="U534">
        <v>0</v>
      </c>
      <c r="W534" t="str">
        <f>"17:49:50.031"</f>
        <v>17:49:50.031</v>
      </c>
      <c r="X534" t="str">
        <f>"17:49:49.531"</f>
        <v>17:49:49.531</v>
      </c>
      <c r="Y534" t="str">
        <f t="shared" si="81"/>
        <v>A7C771</v>
      </c>
      <c r="Z534">
        <v>0</v>
      </c>
      <c r="AA534">
        <v>0</v>
      </c>
      <c r="AB534">
        <v>2</v>
      </c>
      <c r="AC534">
        <v>0</v>
      </c>
      <c r="AE534">
        <v>0</v>
      </c>
      <c r="AF534">
        <v>8</v>
      </c>
      <c r="AG534">
        <v>3</v>
      </c>
      <c r="AH534">
        <v>0</v>
      </c>
      <c r="AI534">
        <v>9</v>
      </c>
      <c r="AJ534" t="s">
        <v>125</v>
      </c>
      <c r="AK534">
        <v>0</v>
      </c>
      <c r="AL534">
        <v>3</v>
      </c>
      <c r="AM534">
        <v>2</v>
      </c>
      <c r="AN534">
        <v>1</v>
      </c>
      <c r="AO534" t="s">
        <v>1087</v>
      </c>
      <c r="AP534">
        <v>43.124448999999998</v>
      </c>
      <c r="AQ534" t="s">
        <v>1106</v>
      </c>
      <c r="AR534">
        <v>-77.619116000000005</v>
      </c>
      <c r="AS534">
        <v>25</v>
      </c>
      <c r="AT534">
        <v>775</v>
      </c>
      <c r="AU534" t="s">
        <v>123</v>
      </c>
      <c r="AV534">
        <v>-113</v>
      </c>
      <c r="AW534">
        <v>-3</v>
      </c>
      <c r="AX534">
        <v>-576</v>
      </c>
      <c r="AZ534">
        <f t="shared" si="86"/>
        <v>12769</v>
      </c>
      <c r="BA534">
        <f t="shared" si="87"/>
        <v>9</v>
      </c>
      <c r="BB534" s="1">
        <f t="shared" si="88"/>
        <v>113.03981599418853</v>
      </c>
      <c r="BJ534">
        <v>1404</v>
      </c>
      <c r="BK534">
        <v>1</v>
      </c>
      <c r="BL534" t="str">
        <f t="shared" si="82"/>
        <v xml:space="preserve">N600C   </v>
      </c>
      <c r="BM534">
        <v>2</v>
      </c>
      <c r="BO534">
        <v>0</v>
      </c>
      <c r="BP534">
        <v>0</v>
      </c>
      <c r="BQ534">
        <v>0</v>
      </c>
      <c r="BR534">
        <v>1000</v>
      </c>
      <c r="BS534">
        <v>225</v>
      </c>
      <c r="BT534" t="s">
        <v>128</v>
      </c>
      <c r="BU534">
        <v>0</v>
      </c>
      <c r="BV534">
        <v>0</v>
      </c>
      <c r="BW534">
        <v>0</v>
      </c>
      <c r="BX534">
        <v>0</v>
      </c>
      <c r="CA534">
        <v>0</v>
      </c>
      <c r="CB534">
        <v>0</v>
      </c>
      <c r="CC534">
        <v>0</v>
      </c>
      <c r="CM534" t="str">
        <f>"17:49:50.037"</f>
        <v>17:49:50.037</v>
      </c>
      <c r="CN534">
        <v>36894017</v>
      </c>
      <c r="CQ534">
        <v>0</v>
      </c>
      <c r="CR534">
        <v>2016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3</v>
      </c>
      <c r="DB534">
        <v>2</v>
      </c>
      <c r="DC534">
        <v>0</v>
      </c>
      <c r="DD534">
        <v>2</v>
      </c>
      <c r="DE534">
        <v>0</v>
      </c>
      <c r="DF534">
        <v>6</v>
      </c>
      <c r="DG534">
        <v>7</v>
      </c>
      <c r="DH534" t="s">
        <v>124</v>
      </c>
      <c r="DI534">
        <v>71</v>
      </c>
      <c r="DJ534">
        <v>0</v>
      </c>
      <c r="DK534" t="s">
        <v>134</v>
      </c>
      <c r="DL534" t="s">
        <v>135</v>
      </c>
      <c r="DO534">
        <v>10331169</v>
      </c>
      <c r="DQ534">
        <v>0</v>
      </c>
      <c r="DR534">
        <v>0</v>
      </c>
      <c r="DS534">
        <v>1</v>
      </c>
      <c r="DT534">
        <v>0</v>
      </c>
      <c r="DU534">
        <v>0</v>
      </c>
      <c r="DV534">
        <v>1</v>
      </c>
      <c r="DW534">
        <v>0</v>
      </c>
      <c r="DX534">
        <v>0</v>
      </c>
      <c r="DY534">
        <v>0</v>
      </c>
      <c r="DZ534">
        <v>0</v>
      </c>
      <c r="EA534">
        <v>0</v>
      </c>
    </row>
    <row r="535" spans="1:131" x14ac:dyDescent="0.35">
      <c r="A535" s="2" t="str">
        <f>"17:49:51.413"</f>
        <v>17:49:51.413</v>
      </c>
      <c r="B535" s="4">
        <f t="shared" si="89"/>
        <v>64191.413000000008</v>
      </c>
      <c r="C535" s="4">
        <f t="shared" si="83"/>
        <v>591.41300000000774</v>
      </c>
      <c r="D535" s="3">
        <f t="shared" si="84"/>
        <v>0.74295616898148154</v>
      </c>
      <c r="E535" s="2">
        <f t="shared" si="85"/>
        <v>0.74295616898148154</v>
      </c>
      <c r="G535" t="str">
        <f t="shared" si="80"/>
        <v>FFDFD7C0</v>
      </c>
      <c r="H535" t="s">
        <v>126</v>
      </c>
      <c r="I535">
        <v>8</v>
      </c>
      <c r="J535">
        <v>1008</v>
      </c>
      <c r="K535" t="s">
        <v>129</v>
      </c>
      <c r="N535" t="s">
        <v>127</v>
      </c>
      <c r="O535">
        <v>0</v>
      </c>
      <c r="P535">
        <v>3</v>
      </c>
      <c r="Q535">
        <v>0</v>
      </c>
      <c r="R535">
        <v>2</v>
      </c>
      <c r="S535">
        <v>1</v>
      </c>
      <c r="T535">
        <v>0</v>
      </c>
      <c r="U535">
        <v>0</v>
      </c>
      <c r="W535" t="str">
        <f>"17:49:51.180"</f>
        <v>17:49:51.180</v>
      </c>
      <c r="X535" t="str">
        <f>"17:49:50.680"</f>
        <v>17:49:50.680</v>
      </c>
      <c r="Y535" t="str">
        <f t="shared" si="81"/>
        <v>A7C771</v>
      </c>
      <c r="Z535">
        <v>0</v>
      </c>
      <c r="AA535">
        <v>0</v>
      </c>
      <c r="AB535">
        <v>2</v>
      </c>
      <c r="AC535">
        <v>0</v>
      </c>
      <c r="AE535">
        <v>0</v>
      </c>
      <c r="AF535">
        <v>8</v>
      </c>
      <c r="AG535">
        <v>3</v>
      </c>
      <c r="AH535">
        <v>0</v>
      </c>
      <c r="AI535">
        <v>9</v>
      </c>
      <c r="AJ535" t="s">
        <v>125</v>
      </c>
      <c r="AK535">
        <v>0</v>
      </c>
      <c r="AL535">
        <v>3</v>
      </c>
      <c r="AM535">
        <v>2</v>
      </c>
      <c r="AN535">
        <v>1</v>
      </c>
      <c r="AO535" t="s">
        <v>1085</v>
      </c>
      <c r="AP535">
        <v>43.124406</v>
      </c>
      <c r="AQ535" t="s">
        <v>1107</v>
      </c>
      <c r="AR535">
        <v>-77.619932000000006</v>
      </c>
      <c r="AS535">
        <v>25</v>
      </c>
      <c r="AT535">
        <v>750</v>
      </c>
      <c r="AU535" t="s">
        <v>123</v>
      </c>
      <c r="AV535">
        <v>-113</v>
      </c>
      <c r="AW535">
        <v>-2</v>
      </c>
      <c r="AX535">
        <v>-576</v>
      </c>
      <c r="AZ535">
        <f t="shared" si="86"/>
        <v>12769</v>
      </c>
      <c r="BA535">
        <f t="shared" si="87"/>
        <v>4</v>
      </c>
      <c r="BB535" s="1">
        <f t="shared" si="88"/>
        <v>113.01769772916099</v>
      </c>
      <c r="BJ535">
        <v>1404</v>
      </c>
      <c r="BK535">
        <v>1</v>
      </c>
      <c r="BL535" t="str">
        <f t="shared" si="82"/>
        <v xml:space="preserve">N600C   </v>
      </c>
      <c r="BM535">
        <v>2</v>
      </c>
      <c r="BO535">
        <v>0</v>
      </c>
      <c r="BP535">
        <v>0</v>
      </c>
      <c r="BQ535">
        <v>0</v>
      </c>
      <c r="BR535">
        <v>1025</v>
      </c>
      <c r="BS535">
        <v>275</v>
      </c>
      <c r="BT535" t="s">
        <v>128</v>
      </c>
      <c r="BU535">
        <v>0</v>
      </c>
      <c r="BV535">
        <v>0</v>
      </c>
      <c r="BW535">
        <v>0</v>
      </c>
      <c r="BX535">
        <v>0</v>
      </c>
      <c r="CA535">
        <v>0</v>
      </c>
      <c r="CB535">
        <v>0</v>
      </c>
      <c r="CC535">
        <v>0</v>
      </c>
      <c r="CM535" t="str">
        <f>"17:49:51.181"</f>
        <v>17:49:51.181</v>
      </c>
      <c r="CN535">
        <v>181126112</v>
      </c>
      <c r="CQ535">
        <v>0</v>
      </c>
      <c r="CR535">
        <v>2016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3</v>
      </c>
      <c r="DB535">
        <v>2</v>
      </c>
      <c r="DC535">
        <v>0</v>
      </c>
      <c r="DD535">
        <v>2</v>
      </c>
      <c r="DE535">
        <v>0</v>
      </c>
      <c r="DF535">
        <v>7</v>
      </c>
      <c r="DG535">
        <v>7</v>
      </c>
      <c r="DH535" t="s">
        <v>124</v>
      </c>
      <c r="DI535">
        <v>407</v>
      </c>
      <c r="DJ535">
        <v>3</v>
      </c>
      <c r="DK535" t="s">
        <v>132</v>
      </c>
      <c r="DL535" t="s">
        <v>133</v>
      </c>
      <c r="DO535">
        <v>1812576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1</v>
      </c>
      <c r="DW535">
        <v>0</v>
      </c>
      <c r="DX535">
        <v>0</v>
      </c>
      <c r="DY535">
        <v>0</v>
      </c>
      <c r="DZ535">
        <v>0</v>
      </c>
      <c r="EA535">
        <v>0</v>
      </c>
    </row>
    <row r="536" spans="1:131" x14ac:dyDescent="0.35">
      <c r="A536" s="2" t="str">
        <f>"17:49:52.382"</f>
        <v>17:49:52.382</v>
      </c>
      <c r="B536" s="4">
        <f t="shared" si="89"/>
        <v>64192.381999999998</v>
      </c>
      <c r="C536" s="4">
        <f t="shared" si="83"/>
        <v>592.38199999999779</v>
      </c>
      <c r="D536" s="3">
        <f t="shared" si="84"/>
        <v>0.74296738425925923</v>
      </c>
      <c r="E536" s="2">
        <f t="shared" si="85"/>
        <v>0.74296738425925923</v>
      </c>
      <c r="G536" t="str">
        <f t="shared" si="80"/>
        <v>FFDFD7C0</v>
      </c>
      <c r="H536" t="s">
        <v>126</v>
      </c>
      <c r="I536">
        <v>8</v>
      </c>
      <c r="J536">
        <v>1008</v>
      </c>
      <c r="K536" t="s">
        <v>129</v>
      </c>
      <c r="N536" t="s">
        <v>127</v>
      </c>
      <c r="O536">
        <v>0</v>
      </c>
      <c r="P536">
        <v>3</v>
      </c>
      <c r="Q536">
        <v>0</v>
      </c>
      <c r="R536">
        <v>2</v>
      </c>
      <c r="S536">
        <v>1</v>
      </c>
      <c r="T536">
        <v>0</v>
      </c>
      <c r="U536">
        <v>0</v>
      </c>
      <c r="W536" t="str">
        <f>"17:49:52.078"</f>
        <v>17:49:52.078</v>
      </c>
      <c r="X536" t="str">
        <f>"17:49:51.878"</f>
        <v>17:49:51.878</v>
      </c>
      <c r="Y536" t="str">
        <f t="shared" si="81"/>
        <v>A7C771</v>
      </c>
      <c r="Z536">
        <v>0</v>
      </c>
      <c r="AA536">
        <v>0</v>
      </c>
      <c r="AB536">
        <v>2</v>
      </c>
      <c r="AC536">
        <v>0</v>
      </c>
      <c r="AE536">
        <v>0</v>
      </c>
      <c r="AF536">
        <v>8</v>
      </c>
      <c r="AG536">
        <v>3</v>
      </c>
      <c r="AH536">
        <v>0</v>
      </c>
      <c r="AI536">
        <v>9</v>
      </c>
      <c r="AJ536" t="s">
        <v>125</v>
      </c>
      <c r="AK536">
        <v>0</v>
      </c>
      <c r="AL536">
        <v>3</v>
      </c>
      <c r="AM536">
        <v>2</v>
      </c>
      <c r="AN536">
        <v>1</v>
      </c>
      <c r="AO536" t="s">
        <v>1085</v>
      </c>
      <c r="AP536">
        <v>43.124406</v>
      </c>
      <c r="AQ536" t="s">
        <v>1108</v>
      </c>
      <c r="AR536">
        <v>-77.620575000000002</v>
      </c>
      <c r="AS536">
        <v>25</v>
      </c>
      <c r="AT536">
        <v>750</v>
      </c>
      <c r="AU536" t="s">
        <v>123</v>
      </c>
      <c r="AV536">
        <v>-112</v>
      </c>
      <c r="AW536">
        <v>-2</v>
      </c>
      <c r="AX536">
        <v>-640</v>
      </c>
      <c r="AZ536">
        <f t="shared" si="86"/>
        <v>12544</v>
      </c>
      <c r="BA536">
        <f t="shared" si="87"/>
        <v>4</v>
      </c>
      <c r="BB536" s="1">
        <f t="shared" si="88"/>
        <v>112.01785571952357</v>
      </c>
      <c r="BJ536">
        <v>1404</v>
      </c>
      <c r="BK536">
        <v>1</v>
      </c>
      <c r="BL536" t="str">
        <f t="shared" si="82"/>
        <v xml:space="preserve">N600C   </v>
      </c>
      <c r="BM536">
        <v>2</v>
      </c>
      <c r="BO536">
        <v>0</v>
      </c>
      <c r="BP536">
        <v>0</v>
      </c>
      <c r="BQ536">
        <v>0</v>
      </c>
      <c r="BR536">
        <v>1000</v>
      </c>
      <c r="BS536">
        <v>250</v>
      </c>
      <c r="BT536" t="s">
        <v>128</v>
      </c>
      <c r="BU536">
        <v>0</v>
      </c>
      <c r="BV536">
        <v>0</v>
      </c>
      <c r="BW536">
        <v>0</v>
      </c>
      <c r="BX536">
        <v>0</v>
      </c>
      <c r="CA536">
        <v>0</v>
      </c>
      <c r="CB536">
        <v>0</v>
      </c>
      <c r="CC536">
        <v>0</v>
      </c>
      <c r="CM536" t="str">
        <f>"17:49:52.085"</f>
        <v>17:49:52.085</v>
      </c>
      <c r="CN536">
        <v>85293917</v>
      </c>
      <c r="CQ536">
        <v>0</v>
      </c>
      <c r="CR536">
        <v>2016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3</v>
      </c>
      <c r="DB536">
        <v>2</v>
      </c>
      <c r="DC536">
        <v>0</v>
      </c>
      <c r="DD536">
        <v>2</v>
      </c>
      <c r="DE536">
        <v>0</v>
      </c>
      <c r="DF536">
        <v>7</v>
      </c>
      <c r="DG536">
        <v>7</v>
      </c>
      <c r="DH536" t="s">
        <v>124</v>
      </c>
      <c r="DI536">
        <v>407</v>
      </c>
      <c r="DJ536">
        <v>3</v>
      </c>
      <c r="DK536" t="s">
        <v>132</v>
      </c>
      <c r="DL536" t="s">
        <v>133</v>
      </c>
      <c r="DO536">
        <v>1813427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1</v>
      </c>
      <c r="DW536">
        <v>0</v>
      </c>
      <c r="DX536">
        <v>0</v>
      </c>
      <c r="DY536">
        <v>0</v>
      </c>
      <c r="DZ536">
        <v>0</v>
      </c>
      <c r="EA536">
        <v>0</v>
      </c>
    </row>
    <row r="537" spans="1:131" x14ac:dyDescent="0.35">
      <c r="A537" s="2" t="str">
        <f>"17:49:53.210"</f>
        <v>17:49:53.210</v>
      </c>
      <c r="B537" s="4">
        <f t="shared" si="89"/>
        <v>64193.21</v>
      </c>
      <c r="C537" s="4">
        <f t="shared" si="83"/>
        <v>593.20999999999913</v>
      </c>
      <c r="D537" s="3">
        <f t="shared" si="84"/>
        <v>0.74297696759259257</v>
      </c>
      <c r="E537" s="2">
        <f t="shared" si="85"/>
        <v>0.74297696759259257</v>
      </c>
      <c r="G537" t="str">
        <f t="shared" si="80"/>
        <v>FFDFD7C0</v>
      </c>
      <c r="H537" t="s">
        <v>126</v>
      </c>
      <c r="I537">
        <v>8</v>
      </c>
      <c r="J537">
        <v>1008</v>
      </c>
      <c r="K537" t="s">
        <v>129</v>
      </c>
      <c r="N537" t="s">
        <v>127</v>
      </c>
      <c r="O537">
        <v>0</v>
      </c>
      <c r="P537">
        <v>3</v>
      </c>
      <c r="Q537">
        <v>0</v>
      </c>
      <c r="R537">
        <v>2</v>
      </c>
      <c r="S537">
        <v>1</v>
      </c>
      <c r="T537">
        <v>0</v>
      </c>
      <c r="U537">
        <v>0</v>
      </c>
      <c r="W537" t="str">
        <f>"17:49:52.977"</f>
        <v>17:49:52.977</v>
      </c>
      <c r="X537" t="str">
        <f>"17:49:52.877"</f>
        <v>17:49:52.877</v>
      </c>
      <c r="Y537" t="str">
        <f t="shared" si="81"/>
        <v>A7C771</v>
      </c>
      <c r="Z537">
        <v>0</v>
      </c>
      <c r="AA537">
        <v>0</v>
      </c>
      <c r="AB537">
        <v>2</v>
      </c>
      <c r="AC537">
        <v>0</v>
      </c>
      <c r="AE537">
        <v>0</v>
      </c>
      <c r="AF537">
        <v>8</v>
      </c>
      <c r="AG537">
        <v>3</v>
      </c>
      <c r="AH537">
        <v>0</v>
      </c>
      <c r="AI537">
        <v>9</v>
      </c>
      <c r="AJ537" t="s">
        <v>125</v>
      </c>
      <c r="AK537">
        <v>0</v>
      </c>
      <c r="AL537">
        <v>3</v>
      </c>
      <c r="AM537">
        <v>2</v>
      </c>
      <c r="AN537">
        <v>1</v>
      </c>
      <c r="AO537" t="s">
        <v>1085</v>
      </c>
      <c r="AP537">
        <v>43.124406</v>
      </c>
      <c r="AQ537" t="s">
        <v>1109</v>
      </c>
      <c r="AR537">
        <v>-77.621218999999996</v>
      </c>
      <c r="AS537">
        <v>25</v>
      </c>
      <c r="AT537">
        <v>750</v>
      </c>
      <c r="AU537" t="s">
        <v>123</v>
      </c>
      <c r="AV537">
        <v>-112</v>
      </c>
      <c r="AW537">
        <v>-3</v>
      </c>
      <c r="AX537">
        <v>-704</v>
      </c>
      <c r="AZ537">
        <f t="shared" si="86"/>
        <v>12544</v>
      </c>
      <c r="BA537">
        <f t="shared" si="87"/>
        <v>9</v>
      </c>
      <c r="BB537" s="1">
        <f t="shared" si="88"/>
        <v>112.04017136723775</v>
      </c>
      <c r="BJ537">
        <v>1404</v>
      </c>
      <c r="BK537">
        <v>1</v>
      </c>
      <c r="BL537" t="str">
        <f t="shared" si="82"/>
        <v xml:space="preserve">N600C   </v>
      </c>
      <c r="BM537">
        <v>2</v>
      </c>
      <c r="BO537">
        <v>0</v>
      </c>
      <c r="BP537">
        <v>0</v>
      </c>
      <c r="BQ537">
        <v>0</v>
      </c>
      <c r="BR537">
        <v>1000</v>
      </c>
      <c r="BS537">
        <v>250</v>
      </c>
      <c r="BT537" t="s">
        <v>128</v>
      </c>
      <c r="BU537">
        <v>0</v>
      </c>
      <c r="BV537">
        <v>0</v>
      </c>
      <c r="BW537">
        <v>0</v>
      </c>
      <c r="BX537">
        <v>0</v>
      </c>
      <c r="CA537">
        <v>0</v>
      </c>
      <c r="CB537">
        <v>0</v>
      </c>
      <c r="CC537">
        <v>0</v>
      </c>
      <c r="CM537" t="str">
        <f>"17:49:52.981"</f>
        <v>17:49:52.981</v>
      </c>
      <c r="CN537">
        <v>981457233</v>
      </c>
      <c r="CQ537">
        <v>0</v>
      </c>
      <c r="CR537">
        <v>2016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3</v>
      </c>
      <c r="DB537">
        <v>2</v>
      </c>
      <c r="DC537">
        <v>0</v>
      </c>
      <c r="DD537">
        <v>2</v>
      </c>
      <c r="DE537">
        <v>0</v>
      </c>
      <c r="DF537">
        <v>7</v>
      </c>
      <c r="DG537">
        <v>7</v>
      </c>
      <c r="DH537" t="s">
        <v>124</v>
      </c>
      <c r="DI537">
        <v>407</v>
      </c>
      <c r="DJ537">
        <v>3</v>
      </c>
      <c r="DK537" t="s">
        <v>132</v>
      </c>
      <c r="DL537" t="s">
        <v>133</v>
      </c>
      <c r="DO537">
        <v>1814281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1</v>
      </c>
      <c r="DW537">
        <v>0</v>
      </c>
      <c r="DX537">
        <v>0</v>
      </c>
      <c r="DY537">
        <v>0</v>
      </c>
      <c r="DZ537">
        <v>0</v>
      </c>
      <c r="EA537">
        <v>0</v>
      </c>
    </row>
    <row r="538" spans="1:131" x14ac:dyDescent="0.35">
      <c r="A538" s="2" t="str">
        <f>"17:49:54.367"</f>
        <v>17:49:54.367</v>
      </c>
      <c r="B538" s="4">
        <f t="shared" si="89"/>
        <v>64194.366999999998</v>
      </c>
      <c r="C538" s="4">
        <f t="shared" si="83"/>
        <v>594.36699999999837</v>
      </c>
      <c r="D538" s="3">
        <f t="shared" si="84"/>
        <v>0.74299035879629627</v>
      </c>
      <c r="E538" s="2">
        <f t="shared" si="85"/>
        <v>0.74299035879629627</v>
      </c>
      <c r="G538" t="str">
        <f t="shared" si="80"/>
        <v>FFDFD7C0</v>
      </c>
      <c r="H538" t="s">
        <v>126</v>
      </c>
      <c r="I538">
        <v>8</v>
      </c>
      <c r="J538">
        <v>1008</v>
      </c>
      <c r="K538" t="s">
        <v>129</v>
      </c>
      <c r="N538" t="s">
        <v>127</v>
      </c>
      <c r="O538">
        <v>0</v>
      </c>
      <c r="P538">
        <v>3</v>
      </c>
      <c r="Q538">
        <v>0</v>
      </c>
      <c r="R538">
        <v>2</v>
      </c>
      <c r="S538">
        <v>1</v>
      </c>
      <c r="T538">
        <v>0</v>
      </c>
      <c r="U538">
        <v>0</v>
      </c>
      <c r="W538" t="str">
        <f>"17:49:54.133"</f>
        <v>17:49:54.133</v>
      </c>
      <c r="X538" t="str">
        <f>"17:49:53.833"</f>
        <v>17:49:53.833</v>
      </c>
      <c r="Y538" t="str">
        <f t="shared" si="81"/>
        <v>A7C771</v>
      </c>
      <c r="Z538">
        <v>0</v>
      </c>
      <c r="AA538">
        <v>0</v>
      </c>
      <c r="AB538">
        <v>2</v>
      </c>
      <c r="AC538">
        <v>0</v>
      </c>
      <c r="AE538">
        <v>0</v>
      </c>
      <c r="AF538">
        <v>8</v>
      </c>
      <c r="AG538">
        <v>3</v>
      </c>
      <c r="AH538">
        <v>0</v>
      </c>
      <c r="AI538">
        <v>9</v>
      </c>
      <c r="AJ538" t="s">
        <v>125</v>
      </c>
      <c r="AK538">
        <v>0</v>
      </c>
      <c r="AL538">
        <v>3</v>
      </c>
      <c r="AM538">
        <v>2</v>
      </c>
      <c r="AN538">
        <v>1</v>
      </c>
      <c r="AO538" t="s">
        <v>1083</v>
      </c>
      <c r="AP538">
        <v>43.124363000000002</v>
      </c>
      <c r="AQ538" t="s">
        <v>1110</v>
      </c>
      <c r="AR538">
        <v>-77.622012999999995</v>
      </c>
      <c r="AS538">
        <v>25</v>
      </c>
      <c r="AT538">
        <v>725</v>
      </c>
      <c r="AU538" t="s">
        <v>123</v>
      </c>
      <c r="AV538">
        <v>-112</v>
      </c>
      <c r="AW538">
        <v>-3</v>
      </c>
      <c r="AX538">
        <v>-704</v>
      </c>
      <c r="AZ538">
        <f t="shared" si="86"/>
        <v>12544</v>
      </c>
      <c r="BA538">
        <f t="shared" si="87"/>
        <v>9</v>
      </c>
      <c r="BB538" s="1">
        <f t="shared" si="88"/>
        <v>112.04017136723775</v>
      </c>
      <c r="BJ538">
        <v>1404</v>
      </c>
      <c r="BK538">
        <v>1</v>
      </c>
      <c r="BL538" t="str">
        <f t="shared" si="82"/>
        <v xml:space="preserve">N600C   </v>
      </c>
      <c r="BM538">
        <v>2</v>
      </c>
      <c r="BO538">
        <v>0</v>
      </c>
      <c r="BP538">
        <v>0</v>
      </c>
      <c r="BQ538">
        <v>0</v>
      </c>
      <c r="BR538">
        <v>975</v>
      </c>
      <c r="BS538">
        <v>250</v>
      </c>
      <c r="BT538" t="s">
        <v>128</v>
      </c>
      <c r="BU538">
        <v>0</v>
      </c>
      <c r="BV538">
        <v>0</v>
      </c>
      <c r="BW538">
        <v>0</v>
      </c>
      <c r="BX538">
        <v>0</v>
      </c>
      <c r="CA538">
        <v>0</v>
      </c>
      <c r="CB538">
        <v>0</v>
      </c>
      <c r="CC538">
        <v>0</v>
      </c>
      <c r="CM538" t="str">
        <f>"17:49:54.134"</f>
        <v>17:49:54.134</v>
      </c>
      <c r="CN538">
        <v>133655601</v>
      </c>
      <c r="CQ538">
        <v>0</v>
      </c>
      <c r="CR538">
        <v>2016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3</v>
      </c>
      <c r="DB538">
        <v>2</v>
      </c>
      <c r="DC538">
        <v>0</v>
      </c>
      <c r="DD538">
        <v>2</v>
      </c>
      <c r="DE538">
        <v>0</v>
      </c>
      <c r="DF538">
        <v>6</v>
      </c>
      <c r="DG538">
        <v>7</v>
      </c>
      <c r="DH538" t="s">
        <v>124</v>
      </c>
      <c r="DI538">
        <v>71</v>
      </c>
      <c r="DJ538">
        <v>0</v>
      </c>
      <c r="DK538" t="s">
        <v>134</v>
      </c>
      <c r="DL538" t="s">
        <v>135</v>
      </c>
      <c r="DO538">
        <v>10333858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1</v>
      </c>
      <c r="DW538">
        <v>0</v>
      </c>
      <c r="DX538">
        <v>0</v>
      </c>
      <c r="DY538">
        <v>0</v>
      </c>
      <c r="DZ538">
        <v>0</v>
      </c>
      <c r="EA538">
        <v>0</v>
      </c>
    </row>
    <row r="539" spans="1:131" x14ac:dyDescent="0.35">
      <c r="A539" s="2" t="str">
        <f>"17:49:55.336"</f>
        <v>17:49:55.336</v>
      </c>
      <c r="B539" s="4">
        <f t="shared" si="89"/>
        <v>64195.336000000003</v>
      </c>
      <c r="C539" s="4">
        <f t="shared" si="83"/>
        <v>595.33600000000297</v>
      </c>
      <c r="D539" s="3">
        <f t="shared" si="84"/>
        <v>0.74300157407407408</v>
      </c>
      <c r="E539" s="2">
        <f t="shared" si="85"/>
        <v>0.74300157407407408</v>
      </c>
      <c r="G539" t="str">
        <f t="shared" si="80"/>
        <v>FFDFD7C0</v>
      </c>
      <c r="H539" t="s">
        <v>126</v>
      </c>
      <c r="I539">
        <v>8</v>
      </c>
      <c r="J539">
        <v>1008</v>
      </c>
      <c r="K539" t="s">
        <v>129</v>
      </c>
      <c r="N539" t="s">
        <v>127</v>
      </c>
      <c r="O539">
        <v>0</v>
      </c>
      <c r="P539">
        <v>3</v>
      </c>
      <c r="Q539">
        <v>0</v>
      </c>
      <c r="R539">
        <v>2</v>
      </c>
      <c r="S539">
        <v>1</v>
      </c>
      <c r="T539">
        <v>0</v>
      </c>
      <c r="U539">
        <v>0</v>
      </c>
      <c r="W539" t="str">
        <f>"17:49:55.078"</f>
        <v>17:49:55.078</v>
      </c>
      <c r="X539" t="str">
        <f>"17:49:54.778"</f>
        <v>17:49:54.778</v>
      </c>
      <c r="Y539" t="str">
        <f t="shared" si="81"/>
        <v>A7C771</v>
      </c>
      <c r="Z539">
        <v>0</v>
      </c>
      <c r="AA539">
        <v>0</v>
      </c>
      <c r="AB539">
        <v>2</v>
      </c>
      <c r="AC539">
        <v>0</v>
      </c>
      <c r="AE539">
        <v>0</v>
      </c>
      <c r="AF539">
        <v>8</v>
      </c>
      <c r="AG539">
        <v>3</v>
      </c>
      <c r="AH539">
        <v>0</v>
      </c>
      <c r="AI539">
        <v>9</v>
      </c>
      <c r="AJ539" t="s">
        <v>125</v>
      </c>
      <c r="AK539">
        <v>0</v>
      </c>
      <c r="AL539">
        <v>3</v>
      </c>
      <c r="AM539">
        <v>2</v>
      </c>
      <c r="AN539">
        <v>1</v>
      </c>
      <c r="AO539" t="s">
        <v>1083</v>
      </c>
      <c r="AP539">
        <v>43.124363000000002</v>
      </c>
      <c r="AQ539" t="s">
        <v>1111</v>
      </c>
      <c r="AR539">
        <v>-77.622720999999999</v>
      </c>
      <c r="AS539">
        <v>25</v>
      </c>
      <c r="AT539">
        <v>725</v>
      </c>
      <c r="AU539" t="s">
        <v>123</v>
      </c>
      <c r="AV539">
        <v>-112</v>
      </c>
      <c r="AW539">
        <v>-3</v>
      </c>
      <c r="AX539">
        <v>-640</v>
      </c>
      <c r="AZ539">
        <f t="shared" si="86"/>
        <v>12544</v>
      </c>
      <c r="BA539">
        <f t="shared" si="87"/>
        <v>9</v>
      </c>
      <c r="BB539" s="1">
        <f t="shared" si="88"/>
        <v>112.04017136723775</v>
      </c>
      <c r="BJ539">
        <v>1404</v>
      </c>
      <c r="BK539">
        <v>1</v>
      </c>
      <c r="BL539" t="str">
        <f t="shared" si="82"/>
        <v xml:space="preserve">N600C   </v>
      </c>
      <c r="BM539">
        <v>2</v>
      </c>
      <c r="BO539">
        <v>0</v>
      </c>
      <c r="BP539">
        <v>0</v>
      </c>
      <c r="BQ539">
        <v>0</v>
      </c>
      <c r="BR539">
        <v>975</v>
      </c>
      <c r="BS539">
        <v>250</v>
      </c>
      <c r="BT539" t="s">
        <v>128</v>
      </c>
      <c r="BU539">
        <v>0</v>
      </c>
      <c r="BV539">
        <v>0</v>
      </c>
      <c r="BW539">
        <v>0</v>
      </c>
      <c r="BX539">
        <v>0</v>
      </c>
      <c r="CA539">
        <v>0</v>
      </c>
      <c r="CB539">
        <v>0</v>
      </c>
      <c r="CC539">
        <v>0</v>
      </c>
      <c r="CM539" t="str">
        <f>"17:49:55.086"</f>
        <v>17:49:55.086</v>
      </c>
      <c r="CN539">
        <v>85829139</v>
      </c>
      <c r="CQ539">
        <v>0</v>
      </c>
      <c r="CR539">
        <v>2016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3</v>
      </c>
      <c r="DB539">
        <v>2</v>
      </c>
      <c r="DC539">
        <v>0</v>
      </c>
      <c r="DD539">
        <v>2</v>
      </c>
      <c r="DE539">
        <v>0</v>
      </c>
      <c r="DF539">
        <v>6</v>
      </c>
      <c r="DG539">
        <v>7</v>
      </c>
      <c r="DH539" t="s">
        <v>124</v>
      </c>
      <c r="DI539">
        <v>71</v>
      </c>
      <c r="DJ539">
        <v>0</v>
      </c>
      <c r="DK539" t="s">
        <v>134</v>
      </c>
      <c r="DL539" t="s">
        <v>135</v>
      </c>
      <c r="DO539">
        <v>10334560</v>
      </c>
      <c r="DQ539">
        <v>0</v>
      </c>
      <c r="DR539">
        <v>0</v>
      </c>
      <c r="DS539">
        <v>1</v>
      </c>
      <c r="DT539">
        <v>0</v>
      </c>
      <c r="DU539">
        <v>0</v>
      </c>
      <c r="DV539">
        <v>1</v>
      </c>
      <c r="DW539">
        <v>0</v>
      </c>
      <c r="DX539">
        <v>0</v>
      </c>
      <c r="DY539">
        <v>0</v>
      </c>
      <c r="DZ539">
        <v>0</v>
      </c>
      <c r="EA539">
        <v>0</v>
      </c>
    </row>
    <row r="540" spans="1:131" x14ac:dyDescent="0.35">
      <c r="A540" s="2" t="str">
        <f>"17:49:56.258"</f>
        <v>17:49:56.258</v>
      </c>
      <c r="B540" s="4">
        <f t="shared" si="89"/>
        <v>64196.258000000002</v>
      </c>
      <c r="C540" s="4">
        <f t="shared" si="83"/>
        <v>596.25800000000163</v>
      </c>
      <c r="D540" s="3">
        <f t="shared" si="84"/>
        <v>0.74301224537037036</v>
      </c>
      <c r="E540" s="2">
        <f t="shared" si="85"/>
        <v>0.74301224537037036</v>
      </c>
      <c r="G540" t="str">
        <f t="shared" si="80"/>
        <v>FFDFD7C0</v>
      </c>
      <c r="H540" t="s">
        <v>126</v>
      </c>
      <c r="I540">
        <v>8</v>
      </c>
      <c r="J540">
        <v>1008</v>
      </c>
      <c r="K540" t="s">
        <v>129</v>
      </c>
      <c r="N540" t="s">
        <v>127</v>
      </c>
      <c r="O540">
        <v>0</v>
      </c>
      <c r="P540">
        <v>3</v>
      </c>
      <c r="Q540">
        <v>0</v>
      </c>
      <c r="R540">
        <v>2</v>
      </c>
      <c r="S540">
        <v>1</v>
      </c>
      <c r="T540">
        <v>0</v>
      </c>
      <c r="U540">
        <v>0</v>
      </c>
      <c r="W540" t="str">
        <f>"17:49:55.938"</f>
        <v>17:49:55.938</v>
      </c>
      <c r="X540" t="str">
        <f>"17:49:55.838"</f>
        <v>17:49:55.838</v>
      </c>
      <c r="Y540" t="str">
        <f t="shared" si="81"/>
        <v>A7C771</v>
      </c>
      <c r="Z540">
        <v>0</v>
      </c>
      <c r="AA540">
        <v>0</v>
      </c>
      <c r="AB540">
        <v>2</v>
      </c>
      <c r="AC540">
        <v>0</v>
      </c>
      <c r="AE540">
        <v>0</v>
      </c>
      <c r="AF540">
        <v>8</v>
      </c>
      <c r="AG540">
        <v>3</v>
      </c>
      <c r="AH540">
        <v>0</v>
      </c>
      <c r="AI540">
        <v>9</v>
      </c>
      <c r="AJ540" t="s">
        <v>125</v>
      </c>
      <c r="AK540">
        <v>0</v>
      </c>
      <c r="AL540">
        <v>3</v>
      </c>
      <c r="AM540">
        <v>2</v>
      </c>
      <c r="AN540">
        <v>1</v>
      </c>
      <c r="AO540" t="s">
        <v>1083</v>
      </c>
      <c r="AP540">
        <v>43.124363000000002</v>
      </c>
      <c r="AQ540" t="s">
        <v>1112</v>
      </c>
      <c r="AR540">
        <v>-77.623322000000002</v>
      </c>
      <c r="AS540">
        <v>25</v>
      </c>
      <c r="AT540">
        <v>700</v>
      </c>
      <c r="AU540" t="s">
        <v>123</v>
      </c>
      <c r="AV540">
        <v>-112</v>
      </c>
      <c r="AW540">
        <v>-2</v>
      </c>
      <c r="AX540">
        <v>-576</v>
      </c>
      <c r="AZ540">
        <f t="shared" si="86"/>
        <v>12544</v>
      </c>
      <c r="BA540">
        <f t="shared" si="87"/>
        <v>4</v>
      </c>
      <c r="BB540" s="1">
        <f t="shared" si="88"/>
        <v>112.01785571952357</v>
      </c>
      <c r="BJ540">
        <v>1404</v>
      </c>
      <c r="BK540">
        <v>1</v>
      </c>
      <c r="BL540" t="str">
        <f t="shared" si="82"/>
        <v xml:space="preserve">N600C   </v>
      </c>
      <c r="BM540">
        <v>2</v>
      </c>
      <c r="BO540">
        <v>0</v>
      </c>
      <c r="BP540">
        <v>0</v>
      </c>
      <c r="BQ540">
        <v>0</v>
      </c>
      <c r="BR540">
        <v>950</v>
      </c>
      <c r="BS540">
        <v>250</v>
      </c>
      <c r="BT540" t="s">
        <v>128</v>
      </c>
      <c r="BU540">
        <v>0</v>
      </c>
      <c r="BV540">
        <v>0</v>
      </c>
      <c r="BW540">
        <v>0</v>
      </c>
      <c r="BX540">
        <v>0</v>
      </c>
      <c r="CA540">
        <v>0</v>
      </c>
      <c r="CB540">
        <v>0</v>
      </c>
      <c r="CC540">
        <v>0</v>
      </c>
      <c r="CM540" t="str">
        <f>"17:49:55.942"</f>
        <v>17:49:55.942</v>
      </c>
      <c r="CN540">
        <v>941983869</v>
      </c>
      <c r="CQ540">
        <v>0</v>
      </c>
      <c r="CR540">
        <v>2016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3</v>
      </c>
      <c r="DB540">
        <v>2</v>
      </c>
      <c r="DC540">
        <v>0</v>
      </c>
      <c r="DD540">
        <v>2</v>
      </c>
      <c r="DE540">
        <v>0</v>
      </c>
      <c r="DF540">
        <v>6</v>
      </c>
      <c r="DG540">
        <v>7</v>
      </c>
      <c r="DH540" t="s">
        <v>124</v>
      </c>
      <c r="DI540">
        <v>71</v>
      </c>
      <c r="DJ540">
        <v>0</v>
      </c>
      <c r="DK540" t="s">
        <v>134</v>
      </c>
      <c r="DL540" t="s">
        <v>135</v>
      </c>
      <c r="DO540">
        <v>10335179</v>
      </c>
      <c r="DQ540">
        <v>0</v>
      </c>
      <c r="DR540">
        <v>0</v>
      </c>
      <c r="DS540">
        <v>1</v>
      </c>
      <c r="DT540">
        <v>0</v>
      </c>
      <c r="DU540">
        <v>0</v>
      </c>
      <c r="DV540">
        <v>1</v>
      </c>
      <c r="DW540">
        <v>0</v>
      </c>
      <c r="DX540">
        <v>0</v>
      </c>
      <c r="DY540">
        <v>0</v>
      </c>
      <c r="DZ540">
        <v>0</v>
      </c>
      <c r="EA540">
        <v>0</v>
      </c>
    </row>
    <row r="541" spans="1:131" x14ac:dyDescent="0.35">
      <c r="A541" s="2" t="str">
        <f>"17:49:57.273"</f>
        <v>17:49:57.273</v>
      </c>
      <c r="B541" s="4">
        <f t="shared" si="89"/>
        <v>64197.273000000001</v>
      </c>
      <c r="C541" s="4">
        <f t="shared" si="83"/>
        <v>597.27300000000105</v>
      </c>
      <c r="D541" s="3">
        <f t="shared" si="84"/>
        <v>0.74302399305555555</v>
      </c>
      <c r="E541" s="2">
        <f t="shared" si="85"/>
        <v>0.74302399305555555</v>
      </c>
      <c r="G541" t="str">
        <f t="shared" si="80"/>
        <v>FFDFD7C0</v>
      </c>
      <c r="H541" t="s">
        <v>126</v>
      </c>
      <c r="I541">
        <v>8</v>
      </c>
      <c r="J541">
        <v>1008</v>
      </c>
      <c r="K541" t="s">
        <v>129</v>
      </c>
      <c r="N541" t="s">
        <v>127</v>
      </c>
      <c r="O541">
        <v>0</v>
      </c>
      <c r="P541">
        <v>3</v>
      </c>
      <c r="Q541">
        <v>0</v>
      </c>
      <c r="R541">
        <v>2</v>
      </c>
      <c r="S541">
        <v>1</v>
      </c>
      <c r="T541">
        <v>0</v>
      </c>
      <c r="U541">
        <v>0</v>
      </c>
      <c r="W541" t="str">
        <f>"17:49:56.930"</f>
        <v>17:49:56.930</v>
      </c>
      <c r="X541" t="str">
        <f>"17:49:56.930"</f>
        <v>17:49:56.930</v>
      </c>
      <c r="Y541" t="str">
        <f t="shared" si="81"/>
        <v>A7C771</v>
      </c>
      <c r="Z541">
        <v>0</v>
      </c>
      <c r="AA541">
        <v>0</v>
      </c>
      <c r="AB541">
        <v>2</v>
      </c>
      <c r="AC541">
        <v>0</v>
      </c>
      <c r="AE541">
        <v>0</v>
      </c>
      <c r="AF541">
        <v>8</v>
      </c>
      <c r="AG541">
        <v>3</v>
      </c>
      <c r="AH541">
        <v>0</v>
      </c>
      <c r="AI541">
        <v>9</v>
      </c>
      <c r="AJ541" t="s">
        <v>125</v>
      </c>
      <c r="AK541">
        <v>0</v>
      </c>
      <c r="AL541">
        <v>3</v>
      </c>
      <c r="AM541">
        <v>2</v>
      </c>
      <c r="AN541">
        <v>1</v>
      </c>
      <c r="AO541" t="s">
        <v>1083</v>
      </c>
      <c r="AP541">
        <v>43.124363000000002</v>
      </c>
      <c r="AQ541" t="s">
        <v>1113</v>
      </c>
      <c r="AR541">
        <v>-77.623965999999996</v>
      </c>
      <c r="AS541">
        <v>25</v>
      </c>
      <c r="AT541">
        <v>700</v>
      </c>
      <c r="AU541" t="s">
        <v>123</v>
      </c>
      <c r="AV541">
        <v>-111</v>
      </c>
      <c r="AW541">
        <v>-2</v>
      </c>
      <c r="AX541">
        <v>-576</v>
      </c>
      <c r="AZ541">
        <f t="shared" si="86"/>
        <v>12321</v>
      </c>
      <c r="BA541">
        <f t="shared" si="87"/>
        <v>4</v>
      </c>
      <c r="BB541" s="1">
        <f t="shared" si="88"/>
        <v>111.01801655587259</v>
      </c>
      <c r="BJ541">
        <v>1404</v>
      </c>
      <c r="BK541">
        <v>1</v>
      </c>
      <c r="BL541" t="str">
        <f t="shared" si="82"/>
        <v xml:space="preserve">N600C   </v>
      </c>
      <c r="BM541">
        <v>2</v>
      </c>
      <c r="BO541">
        <v>0</v>
      </c>
      <c r="BP541">
        <v>0</v>
      </c>
      <c r="BQ541">
        <v>0</v>
      </c>
      <c r="BR541">
        <v>950</v>
      </c>
      <c r="BS541">
        <v>250</v>
      </c>
      <c r="BT541" t="s">
        <v>128</v>
      </c>
      <c r="BU541">
        <v>0</v>
      </c>
      <c r="BV541">
        <v>0</v>
      </c>
      <c r="BW541">
        <v>0</v>
      </c>
      <c r="BX541">
        <v>0</v>
      </c>
      <c r="CA541">
        <v>0</v>
      </c>
      <c r="CB541">
        <v>0</v>
      </c>
      <c r="CC541">
        <v>0</v>
      </c>
      <c r="CM541" t="str">
        <f>"17:49:56.934"</f>
        <v>17:49:56.934</v>
      </c>
      <c r="CN541">
        <v>934174432</v>
      </c>
      <c r="CQ541">
        <v>0</v>
      </c>
      <c r="CR541">
        <v>2016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3</v>
      </c>
      <c r="DB541">
        <v>2</v>
      </c>
      <c r="DC541">
        <v>0</v>
      </c>
      <c r="DD541">
        <v>2</v>
      </c>
      <c r="DE541">
        <v>0</v>
      </c>
      <c r="DF541">
        <v>6</v>
      </c>
      <c r="DG541">
        <v>7</v>
      </c>
      <c r="DH541" t="s">
        <v>124</v>
      </c>
      <c r="DI541">
        <v>407</v>
      </c>
      <c r="DJ541">
        <v>3</v>
      </c>
      <c r="DK541" t="s">
        <v>132</v>
      </c>
      <c r="DL541" t="s">
        <v>133</v>
      </c>
      <c r="DO541">
        <v>1818300</v>
      </c>
      <c r="DQ541">
        <v>0</v>
      </c>
      <c r="DR541">
        <v>0</v>
      </c>
      <c r="DS541">
        <v>1</v>
      </c>
      <c r="DT541">
        <v>0</v>
      </c>
      <c r="DU541">
        <v>0</v>
      </c>
      <c r="DV541">
        <v>1</v>
      </c>
      <c r="DW541">
        <v>0</v>
      </c>
      <c r="DX541">
        <v>0</v>
      </c>
      <c r="DY541">
        <v>0</v>
      </c>
      <c r="DZ541">
        <v>0</v>
      </c>
      <c r="EA541">
        <v>0</v>
      </c>
    </row>
    <row r="542" spans="1:131" x14ac:dyDescent="0.35">
      <c r="A542" s="2" t="str">
        <f>"17:49:58.367"</f>
        <v>17:49:58.367</v>
      </c>
      <c r="B542" s="4">
        <f t="shared" si="89"/>
        <v>64198.366999999998</v>
      </c>
      <c r="C542" s="4">
        <f t="shared" si="83"/>
        <v>598.36699999999837</v>
      </c>
      <c r="D542" s="3">
        <f t="shared" si="84"/>
        <v>0.74303665509259254</v>
      </c>
      <c r="E542" s="2">
        <f t="shared" si="85"/>
        <v>0.74303665509259254</v>
      </c>
      <c r="G542" t="str">
        <f t="shared" si="80"/>
        <v>FFDFD7C0</v>
      </c>
      <c r="H542" t="s">
        <v>126</v>
      </c>
      <c r="I542">
        <v>8</v>
      </c>
      <c r="J542">
        <v>1008</v>
      </c>
      <c r="K542" t="s">
        <v>129</v>
      </c>
      <c r="N542" t="s">
        <v>127</v>
      </c>
      <c r="O542">
        <v>0</v>
      </c>
      <c r="P542">
        <v>3</v>
      </c>
      <c r="Q542">
        <v>0</v>
      </c>
      <c r="R542">
        <v>2</v>
      </c>
      <c r="S542">
        <v>1</v>
      </c>
      <c r="T542">
        <v>0</v>
      </c>
      <c r="U542">
        <v>0</v>
      </c>
      <c r="W542" t="str">
        <f>"17:49:57.953"</f>
        <v>17:49:57.953</v>
      </c>
      <c r="X542" t="str">
        <f>"17:49:57.853"</f>
        <v>17:49:57.853</v>
      </c>
      <c r="Y542" t="str">
        <f t="shared" si="81"/>
        <v>A7C771</v>
      </c>
      <c r="Z542">
        <v>0</v>
      </c>
      <c r="AA542">
        <v>0</v>
      </c>
      <c r="AB542">
        <v>2</v>
      </c>
      <c r="AC542">
        <v>0</v>
      </c>
      <c r="AE542">
        <v>0</v>
      </c>
      <c r="AF542">
        <v>8</v>
      </c>
      <c r="AG542">
        <v>3</v>
      </c>
      <c r="AH542">
        <v>0</v>
      </c>
      <c r="AI542">
        <v>9</v>
      </c>
      <c r="AJ542" t="s">
        <v>125</v>
      </c>
      <c r="AK542">
        <v>0</v>
      </c>
      <c r="AL542">
        <v>3</v>
      </c>
      <c r="AM542">
        <v>2</v>
      </c>
      <c r="AN542">
        <v>1</v>
      </c>
      <c r="AO542" t="s">
        <v>1083</v>
      </c>
      <c r="AP542">
        <v>43.124363000000002</v>
      </c>
      <c r="AQ542" t="s">
        <v>1114</v>
      </c>
      <c r="AR542">
        <v>-77.624737999999994</v>
      </c>
      <c r="AS542">
        <v>25</v>
      </c>
      <c r="AT542">
        <v>675</v>
      </c>
      <c r="AU542" t="s">
        <v>123</v>
      </c>
      <c r="AV542">
        <v>-112</v>
      </c>
      <c r="AW542">
        <v>-2</v>
      </c>
      <c r="AX542">
        <v>-512</v>
      </c>
      <c r="AZ542">
        <f t="shared" si="86"/>
        <v>12544</v>
      </c>
      <c r="BA542">
        <f t="shared" si="87"/>
        <v>4</v>
      </c>
      <c r="BB542" s="1">
        <f t="shared" si="88"/>
        <v>112.01785571952357</v>
      </c>
      <c r="BJ542">
        <v>1404</v>
      </c>
      <c r="BK542">
        <v>1</v>
      </c>
      <c r="BL542" t="str">
        <f t="shared" si="82"/>
        <v xml:space="preserve">N600C   </v>
      </c>
      <c r="BM542">
        <v>2</v>
      </c>
      <c r="BO542">
        <v>0</v>
      </c>
      <c r="BP542">
        <v>0</v>
      </c>
      <c r="BQ542">
        <v>0</v>
      </c>
      <c r="BR542">
        <v>950</v>
      </c>
      <c r="BS542">
        <v>275</v>
      </c>
      <c r="BT542" t="s">
        <v>128</v>
      </c>
      <c r="BU542">
        <v>0</v>
      </c>
      <c r="BV542">
        <v>0</v>
      </c>
      <c r="BW542">
        <v>0</v>
      </c>
      <c r="BX542">
        <v>0</v>
      </c>
      <c r="CA542">
        <v>0</v>
      </c>
      <c r="CB542">
        <v>0</v>
      </c>
      <c r="CC542">
        <v>0</v>
      </c>
      <c r="CM542" t="str">
        <f>"17:49:57.958"</f>
        <v>17:49:57.958</v>
      </c>
      <c r="CN542">
        <v>958338821</v>
      </c>
      <c r="CQ542">
        <v>0</v>
      </c>
      <c r="CR542">
        <v>2016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3</v>
      </c>
      <c r="DB542">
        <v>2</v>
      </c>
      <c r="DC542">
        <v>0</v>
      </c>
      <c r="DD542">
        <v>2</v>
      </c>
      <c r="DE542">
        <v>0</v>
      </c>
      <c r="DF542">
        <v>6</v>
      </c>
      <c r="DG542">
        <v>7</v>
      </c>
      <c r="DH542" t="s">
        <v>124</v>
      </c>
      <c r="DI542">
        <v>71</v>
      </c>
      <c r="DJ542">
        <v>0</v>
      </c>
      <c r="DK542" t="s">
        <v>134</v>
      </c>
      <c r="DL542" t="s">
        <v>135</v>
      </c>
      <c r="DO542">
        <v>10336576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1</v>
      </c>
      <c r="DW542">
        <v>0</v>
      </c>
      <c r="DX542">
        <v>0</v>
      </c>
      <c r="DY542">
        <v>0</v>
      </c>
      <c r="DZ542">
        <v>0</v>
      </c>
      <c r="EA542">
        <v>0</v>
      </c>
    </row>
    <row r="543" spans="1:131" x14ac:dyDescent="0.35">
      <c r="A543" s="2" t="str">
        <f>"17:49:59.195"</f>
        <v>17:49:59.195</v>
      </c>
      <c r="B543" s="4">
        <f t="shared" si="89"/>
        <v>64199.194999999992</v>
      </c>
      <c r="C543" s="4">
        <f t="shared" si="83"/>
        <v>599.19499999999243</v>
      </c>
      <c r="D543" s="3">
        <f t="shared" si="84"/>
        <v>0.74304623842592588</v>
      </c>
      <c r="E543" s="2">
        <f t="shared" si="85"/>
        <v>0.74304623842592588</v>
      </c>
      <c r="G543" t="str">
        <f t="shared" si="80"/>
        <v>FFDFD7C0</v>
      </c>
      <c r="H543" t="s">
        <v>126</v>
      </c>
      <c r="I543">
        <v>8</v>
      </c>
      <c r="J543">
        <v>1008</v>
      </c>
      <c r="K543" t="s">
        <v>129</v>
      </c>
      <c r="N543" t="s">
        <v>127</v>
      </c>
      <c r="O543">
        <v>0</v>
      </c>
      <c r="P543">
        <v>3</v>
      </c>
      <c r="Q543">
        <v>0</v>
      </c>
      <c r="R543">
        <v>2</v>
      </c>
      <c r="S543">
        <v>1</v>
      </c>
      <c r="T543">
        <v>0</v>
      </c>
      <c r="U543">
        <v>0</v>
      </c>
      <c r="W543" t="str">
        <f>"17:49:58.898"</f>
        <v>17:49:58.898</v>
      </c>
      <c r="X543" t="str">
        <f>"17:49:58.898"</f>
        <v>17:49:58.898</v>
      </c>
      <c r="Y543" t="str">
        <f t="shared" si="81"/>
        <v>A7C771</v>
      </c>
      <c r="Z543">
        <v>0</v>
      </c>
      <c r="AA543">
        <v>0</v>
      </c>
      <c r="AB543">
        <v>2</v>
      </c>
      <c r="AC543">
        <v>0</v>
      </c>
      <c r="AE543">
        <v>0</v>
      </c>
      <c r="AF543">
        <v>8</v>
      </c>
      <c r="AG543">
        <v>3</v>
      </c>
      <c r="AH543">
        <v>0</v>
      </c>
      <c r="AI543">
        <v>9</v>
      </c>
      <c r="AJ543" t="s">
        <v>125</v>
      </c>
      <c r="AK543">
        <v>0</v>
      </c>
      <c r="AL543">
        <v>3</v>
      </c>
      <c r="AM543">
        <v>2</v>
      </c>
      <c r="AN543">
        <v>1</v>
      </c>
      <c r="AO543" t="s">
        <v>1115</v>
      </c>
      <c r="AP543">
        <v>43.124321000000002</v>
      </c>
      <c r="AQ543" t="s">
        <v>1116</v>
      </c>
      <c r="AR543">
        <v>-77.625403000000006</v>
      </c>
      <c r="AS543">
        <v>25</v>
      </c>
      <c r="AT543">
        <v>675</v>
      </c>
      <c r="AU543" t="s">
        <v>123</v>
      </c>
      <c r="AV543">
        <v>-112</v>
      </c>
      <c r="AW543">
        <v>-2</v>
      </c>
      <c r="AX543">
        <v>-384</v>
      </c>
      <c r="AZ543">
        <f t="shared" si="86"/>
        <v>12544</v>
      </c>
      <c r="BA543">
        <f t="shared" si="87"/>
        <v>4</v>
      </c>
      <c r="BB543" s="1">
        <f t="shared" si="88"/>
        <v>112.01785571952357</v>
      </c>
      <c r="BJ543">
        <v>1404</v>
      </c>
      <c r="BK543">
        <v>1</v>
      </c>
      <c r="BL543" t="str">
        <f t="shared" si="82"/>
        <v xml:space="preserve">N600C   </v>
      </c>
      <c r="BM543">
        <v>2</v>
      </c>
      <c r="BO543">
        <v>0</v>
      </c>
      <c r="BP543">
        <v>0</v>
      </c>
      <c r="BQ543">
        <v>0</v>
      </c>
      <c r="BR543">
        <v>925</v>
      </c>
      <c r="BS543">
        <v>250</v>
      </c>
      <c r="BT543" t="s">
        <v>128</v>
      </c>
      <c r="BU543">
        <v>0</v>
      </c>
      <c r="BV543">
        <v>0</v>
      </c>
      <c r="BW543">
        <v>0</v>
      </c>
      <c r="BX543">
        <v>0</v>
      </c>
      <c r="CA543">
        <v>0</v>
      </c>
      <c r="CB543">
        <v>0</v>
      </c>
      <c r="CC543">
        <v>0</v>
      </c>
      <c r="CM543" t="str">
        <f>"17:49:58.903"</f>
        <v>17:49:58.903</v>
      </c>
      <c r="CN543">
        <v>902515531</v>
      </c>
      <c r="CQ543">
        <v>0</v>
      </c>
      <c r="CR543">
        <v>2016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3</v>
      </c>
      <c r="DB543">
        <v>2</v>
      </c>
      <c r="DC543">
        <v>0</v>
      </c>
      <c r="DD543">
        <v>2</v>
      </c>
      <c r="DE543">
        <v>0</v>
      </c>
      <c r="DF543">
        <v>6</v>
      </c>
      <c r="DG543">
        <v>7</v>
      </c>
      <c r="DH543" t="s">
        <v>124</v>
      </c>
      <c r="DI543">
        <v>71</v>
      </c>
      <c r="DJ543">
        <v>0</v>
      </c>
      <c r="DK543" t="s">
        <v>134</v>
      </c>
      <c r="DL543" t="s">
        <v>135</v>
      </c>
      <c r="DO543">
        <v>10337194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1</v>
      </c>
      <c r="DW543">
        <v>0</v>
      </c>
      <c r="DX543">
        <v>0</v>
      </c>
      <c r="DY543">
        <v>0</v>
      </c>
      <c r="DZ543">
        <v>0</v>
      </c>
      <c r="EA543">
        <v>0</v>
      </c>
    </row>
    <row r="544" spans="1:131" x14ac:dyDescent="0.35">
      <c r="A544" s="2" t="str">
        <f>"17:50:00.273"</f>
        <v>17:50:00.273</v>
      </c>
      <c r="B544" s="4">
        <f t="shared" si="89"/>
        <v>64200.273000000001</v>
      </c>
      <c r="C544" s="4">
        <f t="shared" si="83"/>
        <v>600.27300000000105</v>
      </c>
      <c r="D544" s="3">
        <f t="shared" si="84"/>
        <v>0.74305871527777778</v>
      </c>
      <c r="E544" s="2">
        <f t="shared" si="85"/>
        <v>0.74305871527777778</v>
      </c>
      <c r="G544" t="str">
        <f t="shared" si="80"/>
        <v>FFDFD7C0</v>
      </c>
      <c r="H544" t="s">
        <v>126</v>
      </c>
      <c r="I544">
        <v>8</v>
      </c>
      <c r="J544">
        <v>1008</v>
      </c>
      <c r="K544" t="s">
        <v>129</v>
      </c>
      <c r="N544" t="s">
        <v>127</v>
      </c>
      <c r="O544">
        <v>0</v>
      </c>
      <c r="P544">
        <v>3</v>
      </c>
      <c r="Q544">
        <v>0</v>
      </c>
      <c r="R544">
        <v>2</v>
      </c>
      <c r="S544">
        <v>1</v>
      </c>
      <c r="T544">
        <v>0</v>
      </c>
      <c r="U544">
        <v>0</v>
      </c>
      <c r="W544" t="str">
        <f>"17:49:59.992"</f>
        <v>17:49:59.992</v>
      </c>
      <c r="X544" t="str">
        <f>"17:49:59.892"</f>
        <v>17:49:59.892</v>
      </c>
      <c r="Y544" t="str">
        <f t="shared" si="81"/>
        <v>A7C771</v>
      </c>
      <c r="Z544">
        <v>0</v>
      </c>
      <c r="AA544">
        <v>0</v>
      </c>
      <c r="AB544">
        <v>2</v>
      </c>
      <c r="AC544">
        <v>0</v>
      </c>
      <c r="AE544">
        <v>0</v>
      </c>
      <c r="AF544">
        <v>8</v>
      </c>
      <c r="AG544">
        <v>3</v>
      </c>
      <c r="AH544">
        <v>0</v>
      </c>
      <c r="AI544">
        <v>9</v>
      </c>
      <c r="AJ544" t="s">
        <v>125</v>
      </c>
      <c r="AK544">
        <v>0</v>
      </c>
      <c r="AL544">
        <v>3</v>
      </c>
      <c r="AM544">
        <v>2</v>
      </c>
      <c r="AN544">
        <v>1</v>
      </c>
      <c r="AO544" t="s">
        <v>1115</v>
      </c>
      <c r="AP544">
        <v>43.124321000000002</v>
      </c>
      <c r="AQ544" t="s">
        <v>1117</v>
      </c>
      <c r="AR544">
        <v>-77.626132999999996</v>
      </c>
      <c r="AS544">
        <v>25</v>
      </c>
      <c r="AT544">
        <v>675</v>
      </c>
      <c r="AU544" t="s">
        <v>123</v>
      </c>
      <c r="AV544">
        <v>-112</v>
      </c>
      <c r="AW544">
        <v>-3</v>
      </c>
      <c r="AX544">
        <v>-576</v>
      </c>
      <c r="AZ544">
        <f t="shared" si="86"/>
        <v>12544</v>
      </c>
      <c r="BA544">
        <f t="shared" si="87"/>
        <v>9</v>
      </c>
      <c r="BB544" s="1">
        <f t="shared" si="88"/>
        <v>112.04017136723775</v>
      </c>
      <c r="BJ544">
        <v>1404</v>
      </c>
      <c r="BK544">
        <v>1</v>
      </c>
      <c r="BL544" t="str">
        <f t="shared" si="82"/>
        <v xml:space="preserve">N600C   </v>
      </c>
      <c r="BM544">
        <v>2</v>
      </c>
      <c r="BO544">
        <v>0</v>
      </c>
      <c r="BP544">
        <v>0</v>
      </c>
      <c r="BQ544">
        <v>0</v>
      </c>
      <c r="BR544">
        <v>925</v>
      </c>
      <c r="BS544">
        <v>250</v>
      </c>
      <c r="BT544" t="s">
        <v>128</v>
      </c>
      <c r="BU544">
        <v>0</v>
      </c>
      <c r="BV544">
        <v>0</v>
      </c>
      <c r="BW544">
        <v>0</v>
      </c>
      <c r="BX544">
        <v>0</v>
      </c>
      <c r="CA544">
        <v>0</v>
      </c>
      <c r="CB544">
        <v>0</v>
      </c>
      <c r="CC544">
        <v>0</v>
      </c>
      <c r="CM544" t="str">
        <f>"17:49:59.999"</f>
        <v>17:49:59.999</v>
      </c>
      <c r="CN544">
        <v>998718528</v>
      </c>
      <c r="CQ544">
        <v>0</v>
      </c>
      <c r="CR544">
        <v>2016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3</v>
      </c>
      <c r="DB544">
        <v>2</v>
      </c>
      <c r="DC544">
        <v>0</v>
      </c>
      <c r="DD544">
        <v>2</v>
      </c>
      <c r="DE544">
        <v>0</v>
      </c>
      <c r="DF544">
        <v>6</v>
      </c>
      <c r="DG544">
        <v>7</v>
      </c>
      <c r="DH544" t="s">
        <v>124</v>
      </c>
      <c r="DI544">
        <v>71</v>
      </c>
      <c r="DJ544">
        <v>0</v>
      </c>
      <c r="DK544" t="s">
        <v>134</v>
      </c>
      <c r="DL544" t="s">
        <v>135</v>
      </c>
      <c r="DO544">
        <v>10337950</v>
      </c>
      <c r="DQ544">
        <v>0</v>
      </c>
      <c r="DR544">
        <v>0</v>
      </c>
      <c r="DS544">
        <v>1</v>
      </c>
      <c r="DT544">
        <v>0</v>
      </c>
      <c r="DU544">
        <v>0</v>
      </c>
      <c r="DV544">
        <v>1</v>
      </c>
      <c r="DW544">
        <v>0</v>
      </c>
      <c r="DX544">
        <v>0</v>
      </c>
      <c r="DY544">
        <v>0</v>
      </c>
      <c r="DZ544">
        <v>0</v>
      </c>
      <c r="EA544">
        <v>0</v>
      </c>
    </row>
    <row r="545" spans="1:131" x14ac:dyDescent="0.35">
      <c r="A545" s="2" t="str">
        <f>"17:50:01.357"</f>
        <v>17:50:01.357</v>
      </c>
      <c r="B545" s="4">
        <f t="shared" si="89"/>
        <v>64201.357000000004</v>
      </c>
      <c r="C545" s="4">
        <f t="shared" si="83"/>
        <v>601.35700000000361</v>
      </c>
      <c r="D545" s="3">
        <f t="shared" si="84"/>
        <v>0.7430712615740741</v>
      </c>
      <c r="E545" s="2">
        <f t="shared" si="85"/>
        <v>0.7430712615740741</v>
      </c>
      <c r="G545" t="str">
        <f t="shared" si="80"/>
        <v>FFDFD7C0</v>
      </c>
      <c r="H545" t="s">
        <v>126</v>
      </c>
      <c r="I545">
        <v>8</v>
      </c>
      <c r="J545">
        <v>1008</v>
      </c>
      <c r="K545" t="s">
        <v>129</v>
      </c>
      <c r="N545" t="s">
        <v>127</v>
      </c>
      <c r="O545">
        <v>0</v>
      </c>
      <c r="P545">
        <v>3</v>
      </c>
      <c r="Q545">
        <v>0</v>
      </c>
      <c r="R545">
        <v>2</v>
      </c>
      <c r="S545">
        <v>1</v>
      </c>
      <c r="T545">
        <v>0</v>
      </c>
      <c r="U545">
        <v>0</v>
      </c>
      <c r="W545" t="str">
        <f>"17:50:01.063"</f>
        <v>17:50:01.063</v>
      </c>
      <c r="X545" t="str">
        <f>"17:50:01.063"</f>
        <v>17:50:01.063</v>
      </c>
      <c r="Y545" t="str">
        <f t="shared" si="81"/>
        <v>A7C771</v>
      </c>
      <c r="Z545">
        <v>0</v>
      </c>
      <c r="AA545">
        <v>0</v>
      </c>
      <c r="AB545">
        <v>2</v>
      </c>
      <c r="AC545">
        <v>0</v>
      </c>
      <c r="AE545">
        <v>0</v>
      </c>
      <c r="AF545">
        <v>8</v>
      </c>
      <c r="AG545">
        <v>3</v>
      </c>
      <c r="AH545">
        <v>0</v>
      </c>
      <c r="AI545">
        <v>9</v>
      </c>
      <c r="AJ545" t="s">
        <v>125</v>
      </c>
      <c r="AK545">
        <v>0</v>
      </c>
      <c r="AL545">
        <v>3</v>
      </c>
      <c r="AM545">
        <v>2</v>
      </c>
      <c r="AN545">
        <v>1</v>
      </c>
      <c r="AO545" t="s">
        <v>1115</v>
      </c>
      <c r="AP545">
        <v>43.124321000000002</v>
      </c>
      <c r="AQ545" t="s">
        <v>1118</v>
      </c>
      <c r="AR545">
        <v>-77.62697</v>
      </c>
      <c r="AS545">
        <v>25</v>
      </c>
      <c r="AT545">
        <v>650</v>
      </c>
      <c r="AU545" t="s">
        <v>123</v>
      </c>
      <c r="AV545">
        <v>-112</v>
      </c>
      <c r="AW545">
        <v>-3</v>
      </c>
      <c r="AX545">
        <v>-576</v>
      </c>
      <c r="AZ545">
        <f t="shared" si="86"/>
        <v>12544</v>
      </c>
      <c r="BA545">
        <f t="shared" si="87"/>
        <v>9</v>
      </c>
      <c r="BB545" s="1">
        <f t="shared" si="88"/>
        <v>112.04017136723775</v>
      </c>
      <c r="BJ545">
        <v>1404</v>
      </c>
      <c r="BK545">
        <v>1</v>
      </c>
      <c r="BL545" t="str">
        <f t="shared" si="82"/>
        <v xml:space="preserve">N600C   </v>
      </c>
      <c r="BM545">
        <v>2</v>
      </c>
      <c r="BO545">
        <v>0</v>
      </c>
      <c r="BP545">
        <v>0</v>
      </c>
      <c r="BQ545">
        <v>0</v>
      </c>
      <c r="BR545">
        <v>900</v>
      </c>
      <c r="BS545">
        <v>250</v>
      </c>
      <c r="BT545" t="s">
        <v>128</v>
      </c>
      <c r="BU545">
        <v>0</v>
      </c>
      <c r="BV545">
        <v>0</v>
      </c>
      <c r="BW545">
        <v>0</v>
      </c>
      <c r="BX545">
        <v>0</v>
      </c>
      <c r="CA545">
        <v>0</v>
      </c>
      <c r="CB545">
        <v>0</v>
      </c>
      <c r="CC545">
        <v>0</v>
      </c>
      <c r="CM545" t="str">
        <f>"17:50:01.063"</f>
        <v>17:50:01.063</v>
      </c>
      <c r="CN545">
        <v>62908010</v>
      </c>
      <c r="CQ545">
        <v>0</v>
      </c>
      <c r="CR545">
        <v>2016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3</v>
      </c>
      <c r="DB545">
        <v>2</v>
      </c>
      <c r="DC545">
        <v>0</v>
      </c>
      <c r="DD545">
        <v>2</v>
      </c>
      <c r="DE545">
        <v>0</v>
      </c>
      <c r="DF545">
        <v>6</v>
      </c>
      <c r="DG545">
        <v>7</v>
      </c>
      <c r="DH545" t="s">
        <v>124</v>
      </c>
      <c r="DI545">
        <v>71</v>
      </c>
      <c r="DJ545">
        <v>0</v>
      </c>
      <c r="DK545" t="s">
        <v>134</v>
      </c>
      <c r="DL545" t="s">
        <v>135</v>
      </c>
      <c r="DO545">
        <v>10338735</v>
      </c>
      <c r="DQ545">
        <v>0</v>
      </c>
      <c r="DR545">
        <v>0</v>
      </c>
      <c r="DS545">
        <v>1</v>
      </c>
      <c r="DT545">
        <v>0</v>
      </c>
      <c r="DU545">
        <v>0</v>
      </c>
      <c r="DV545">
        <v>1</v>
      </c>
      <c r="DW545">
        <v>0</v>
      </c>
      <c r="DX545">
        <v>0</v>
      </c>
      <c r="DY545">
        <v>0</v>
      </c>
      <c r="DZ545">
        <v>0</v>
      </c>
      <c r="EA545">
        <v>0</v>
      </c>
    </row>
    <row r="546" spans="1:131" x14ac:dyDescent="0.35">
      <c r="A546" s="2" t="str">
        <f>"17:50:02.405"</f>
        <v>17:50:02.405</v>
      </c>
      <c r="B546" s="4">
        <f t="shared" si="89"/>
        <v>64202.404999999999</v>
      </c>
      <c r="C546" s="4">
        <f t="shared" si="83"/>
        <v>602.40499999999884</v>
      </c>
      <c r="D546" s="3">
        <f t="shared" si="84"/>
        <v>0.7430833912037037</v>
      </c>
      <c r="E546" s="2">
        <f t="shared" si="85"/>
        <v>0.7430833912037037</v>
      </c>
      <c r="G546" t="str">
        <f t="shared" si="80"/>
        <v>FFDFD7C0</v>
      </c>
      <c r="H546" t="s">
        <v>126</v>
      </c>
      <c r="I546">
        <v>8</v>
      </c>
      <c r="J546">
        <v>1008</v>
      </c>
      <c r="K546" t="s">
        <v>129</v>
      </c>
      <c r="N546" t="s">
        <v>127</v>
      </c>
      <c r="O546">
        <v>0</v>
      </c>
      <c r="P546">
        <v>3</v>
      </c>
      <c r="Q546">
        <v>0</v>
      </c>
      <c r="R546">
        <v>2</v>
      </c>
      <c r="S546">
        <v>1</v>
      </c>
      <c r="T546">
        <v>0</v>
      </c>
      <c r="U546">
        <v>0</v>
      </c>
      <c r="W546" t="str">
        <f>"17:50:02.164"</f>
        <v>17:50:02.164</v>
      </c>
      <c r="X546" t="str">
        <f>"17:50:02.064"</f>
        <v>17:50:02.064</v>
      </c>
      <c r="Y546" t="str">
        <f t="shared" si="81"/>
        <v>A7C771</v>
      </c>
      <c r="Z546">
        <v>0</v>
      </c>
      <c r="AA546">
        <v>0</v>
      </c>
      <c r="AB546">
        <v>2</v>
      </c>
      <c r="AC546">
        <v>0</v>
      </c>
      <c r="AE546">
        <v>0</v>
      </c>
      <c r="AF546">
        <v>8</v>
      </c>
      <c r="AG546">
        <v>3</v>
      </c>
      <c r="AH546">
        <v>0</v>
      </c>
      <c r="AI546">
        <v>9</v>
      </c>
      <c r="AJ546" t="s">
        <v>125</v>
      </c>
      <c r="AK546">
        <v>0</v>
      </c>
      <c r="AL546">
        <v>3</v>
      </c>
      <c r="AM546">
        <v>2</v>
      </c>
      <c r="AN546">
        <v>1</v>
      </c>
      <c r="AO546" t="s">
        <v>1081</v>
      </c>
      <c r="AP546">
        <v>43.124277999999997</v>
      </c>
      <c r="AQ546" t="s">
        <v>473</v>
      </c>
      <c r="AR546">
        <v>-77.627741999999998</v>
      </c>
      <c r="AS546">
        <v>25</v>
      </c>
      <c r="AT546">
        <v>650</v>
      </c>
      <c r="AU546" t="s">
        <v>123</v>
      </c>
      <c r="AV546">
        <v>-112</v>
      </c>
      <c r="AW546">
        <v>-4</v>
      </c>
      <c r="AX546">
        <v>-704</v>
      </c>
      <c r="AZ546">
        <f t="shared" si="86"/>
        <v>12544</v>
      </c>
      <c r="BA546">
        <f t="shared" si="87"/>
        <v>16</v>
      </c>
      <c r="BB546" s="1">
        <f t="shared" si="88"/>
        <v>112.0714058089752</v>
      </c>
      <c r="BJ546">
        <v>1404</v>
      </c>
      <c r="BK546">
        <v>1</v>
      </c>
      <c r="BL546" t="str">
        <f t="shared" si="82"/>
        <v xml:space="preserve">N600C   </v>
      </c>
      <c r="BM546">
        <v>2</v>
      </c>
      <c r="BO546">
        <v>0</v>
      </c>
      <c r="BP546">
        <v>0</v>
      </c>
      <c r="BQ546">
        <v>0</v>
      </c>
      <c r="BR546">
        <v>900</v>
      </c>
      <c r="BS546">
        <v>250</v>
      </c>
      <c r="BT546" t="s">
        <v>128</v>
      </c>
      <c r="BU546">
        <v>0</v>
      </c>
      <c r="BV546">
        <v>0</v>
      </c>
      <c r="BW546">
        <v>0</v>
      </c>
      <c r="BX546">
        <v>0</v>
      </c>
      <c r="CA546">
        <v>0</v>
      </c>
      <c r="CB546">
        <v>0</v>
      </c>
      <c r="CC546">
        <v>0</v>
      </c>
      <c r="CM546" t="str">
        <f>"17:50:02.167"</f>
        <v>17:50:02.167</v>
      </c>
      <c r="CN546">
        <v>167126858</v>
      </c>
      <c r="CQ546">
        <v>0</v>
      </c>
      <c r="CR546">
        <v>2016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3</v>
      </c>
      <c r="DB546">
        <v>2</v>
      </c>
      <c r="DC546">
        <v>0</v>
      </c>
      <c r="DD546">
        <v>2</v>
      </c>
      <c r="DE546">
        <v>0</v>
      </c>
      <c r="DF546">
        <v>6</v>
      </c>
      <c r="DG546">
        <v>7</v>
      </c>
      <c r="DH546" t="s">
        <v>124</v>
      </c>
      <c r="DI546">
        <v>407</v>
      </c>
      <c r="DJ546">
        <v>3</v>
      </c>
      <c r="DK546" t="s">
        <v>132</v>
      </c>
      <c r="DL546" t="s">
        <v>133</v>
      </c>
      <c r="DO546">
        <v>1823608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1</v>
      </c>
      <c r="DW546">
        <v>0</v>
      </c>
      <c r="DX546">
        <v>0</v>
      </c>
      <c r="DY546">
        <v>0</v>
      </c>
      <c r="DZ546">
        <v>0</v>
      </c>
      <c r="EA546">
        <v>0</v>
      </c>
    </row>
    <row r="547" spans="1:131" x14ac:dyDescent="0.35">
      <c r="A547" s="2" t="str">
        <f>"17:50:03.452"</f>
        <v>17:50:03.452</v>
      </c>
      <c r="B547" s="4">
        <f t="shared" si="89"/>
        <v>64203.451999999997</v>
      </c>
      <c r="C547" s="4">
        <f t="shared" si="83"/>
        <v>603.4519999999975</v>
      </c>
      <c r="D547" s="3">
        <f t="shared" si="84"/>
        <v>0.74309550925925927</v>
      </c>
      <c r="E547" s="2">
        <f t="shared" si="85"/>
        <v>0.74309550925925927</v>
      </c>
      <c r="G547" t="str">
        <f t="shared" si="80"/>
        <v>FFDFD7C0</v>
      </c>
      <c r="H547" t="s">
        <v>126</v>
      </c>
      <c r="I547">
        <v>8</v>
      </c>
      <c r="J547">
        <v>1008</v>
      </c>
      <c r="K547" t="s">
        <v>129</v>
      </c>
      <c r="N547" t="s">
        <v>127</v>
      </c>
      <c r="O547">
        <v>0</v>
      </c>
      <c r="P547">
        <v>3</v>
      </c>
      <c r="Q547">
        <v>0</v>
      </c>
      <c r="R547">
        <v>2</v>
      </c>
      <c r="S547">
        <v>1</v>
      </c>
      <c r="T547">
        <v>0</v>
      </c>
      <c r="U547">
        <v>0</v>
      </c>
      <c r="W547" t="str">
        <f>"17:50:03.242"</f>
        <v>17:50:03.242</v>
      </c>
      <c r="X547" t="str">
        <f>"17:50:03.142"</f>
        <v>17:50:03.142</v>
      </c>
      <c r="Y547" t="str">
        <f t="shared" si="81"/>
        <v>A7C771</v>
      </c>
      <c r="Z547">
        <v>0</v>
      </c>
      <c r="AA547">
        <v>0</v>
      </c>
      <c r="AB547">
        <v>2</v>
      </c>
      <c r="AC547">
        <v>0</v>
      </c>
      <c r="AE547">
        <v>0</v>
      </c>
      <c r="AF547">
        <v>8</v>
      </c>
      <c r="AG547">
        <v>3</v>
      </c>
      <c r="AH547">
        <v>0</v>
      </c>
      <c r="AI547">
        <v>9</v>
      </c>
      <c r="AJ547" t="s">
        <v>125</v>
      </c>
      <c r="AK547">
        <v>0</v>
      </c>
      <c r="AL547">
        <v>3</v>
      </c>
      <c r="AM547">
        <v>2</v>
      </c>
      <c r="AN547">
        <v>1</v>
      </c>
      <c r="AO547" t="s">
        <v>1081</v>
      </c>
      <c r="AP547">
        <v>43.124277999999997</v>
      </c>
      <c r="AQ547" t="s">
        <v>1119</v>
      </c>
      <c r="AR547">
        <v>-77.628472000000002</v>
      </c>
      <c r="AS547">
        <v>25</v>
      </c>
      <c r="AT547">
        <v>625</v>
      </c>
      <c r="AU547" t="s">
        <v>123</v>
      </c>
      <c r="AV547">
        <v>-112</v>
      </c>
      <c r="AW547">
        <v>-4</v>
      </c>
      <c r="AX547">
        <v>-640</v>
      </c>
      <c r="AZ547">
        <f t="shared" si="86"/>
        <v>12544</v>
      </c>
      <c r="BA547">
        <f t="shared" si="87"/>
        <v>16</v>
      </c>
      <c r="BB547" s="1">
        <f t="shared" si="88"/>
        <v>112.0714058089752</v>
      </c>
      <c r="BJ547">
        <v>1404</v>
      </c>
      <c r="BK547">
        <v>1</v>
      </c>
      <c r="BL547" t="str">
        <f t="shared" si="82"/>
        <v xml:space="preserve">N600C   </v>
      </c>
      <c r="BM547">
        <v>2</v>
      </c>
      <c r="BO547">
        <v>0</v>
      </c>
      <c r="BP547">
        <v>0</v>
      </c>
      <c r="BQ547">
        <v>0</v>
      </c>
      <c r="BR547">
        <v>875</v>
      </c>
      <c r="BS547">
        <v>250</v>
      </c>
      <c r="BT547" t="s">
        <v>128</v>
      </c>
      <c r="BU547">
        <v>0</v>
      </c>
      <c r="BV547">
        <v>0</v>
      </c>
      <c r="BW547">
        <v>0</v>
      </c>
      <c r="BX547">
        <v>0</v>
      </c>
      <c r="CA547">
        <v>0</v>
      </c>
      <c r="CB547">
        <v>0</v>
      </c>
      <c r="CC547">
        <v>0</v>
      </c>
      <c r="CM547" t="str">
        <f>"17:50:03.247"</f>
        <v>17:50:03.247</v>
      </c>
      <c r="CN547">
        <v>247318692</v>
      </c>
      <c r="CQ547">
        <v>0</v>
      </c>
      <c r="CR547">
        <v>2016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3</v>
      </c>
      <c r="DB547">
        <v>2</v>
      </c>
      <c r="DC547">
        <v>0</v>
      </c>
      <c r="DD547">
        <v>2</v>
      </c>
      <c r="DE547">
        <v>0</v>
      </c>
      <c r="DF547">
        <v>6</v>
      </c>
      <c r="DG547">
        <v>7</v>
      </c>
      <c r="DH547" t="s">
        <v>124</v>
      </c>
      <c r="DI547">
        <v>407</v>
      </c>
      <c r="DJ547">
        <v>3</v>
      </c>
      <c r="DK547" t="s">
        <v>132</v>
      </c>
      <c r="DL547" t="s">
        <v>133</v>
      </c>
      <c r="DO547">
        <v>1824740</v>
      </c>
      <c r="DQ547">
        <v>0</v>
      </c>
      <c r="DR547">
        <v>0</v>
      </c>
      <c r="DS547">
        <v>1</v>
      </c>
      <c r="DT547">
        <v>0</v>
      </c>
      <c r="DU547">
        <v>0</v>
      </c>
      <c r="DV547">
        <v>1</v>
      </c>
      <c r="DW547">
        <v>0</v>
      </c>
      <c r="DX547">
        <v>0</v>
      </c>
      <c r="DY547">
        <v>0</v>
      </c>
      <c r="DZ547">
        <v>0</v>
      </c>
      <c r="EA547">
        <v>0</v>
      </c>
    </row>
    <row r="548" spans="1:131" x14ac:dyDescent="0.35">
      <c r="A548" s="2" t="str">
        <f>"17:50:04.679"</f>
        <v>17:50:04.679</v>
      </c>
      <c r="B548" s="4">
        <f t="shared" si="89"/>
        <v>64204.678999999996</v>
      </c>
      <c r="C548" s="4">
        <f t="shared" si="83"/>
        <v>604.67899999999645</v>
      </c>
      <c r="D548" s="3">
        <f t="shared" si="84"/>
        <v>0.74310971064814813</v>
      </c>
      <c r="E548" s="2">
        <f t="shared" si="85"/>
        <v>0.74310971064814813</v>
      </c>
      <c r="G548" t="str">
        <f t="shared" si="80"/>
        <v>FFDFD7C0</v>
      </c>
      <c r="H548" t="s">
        <v>126</v>
      </c>
      <c r="I548">
        <v>8</v>
      </c>
      <c r="J548">
        <v>1008</v>
      </c>
      <c r="K548" t="s">
        <v>129</v>
      </c>
      <c r="N548" t="s">
        <v>127</v>
      </c>
      <c r="O548">
        <v>0</v>
      </c>
      <c r="P548">
        <v>3</v>
      </c>
      <c r="Q548">
        <v>0</v>
      </c>
      <c r="R548">
        <v>2</v>
      </c>
      <c r="S548">
        <v>1</v>
      </c>
      <c r="T548">
        <v>0</v>
      </c>
      <c r="U548">
        <v>0</v>
      </c>
      <c r="W548" t="str">
        <f>"17:50:04.336"</f>
        <v>17:50:04.336</v>
      </c>
      <c r="X548" t="str">
        <f>"17:50:04.036"</f>
        <v>17:50:04.036</v>
      </c>
      <c r="Y548" t="str">
        <f t="shared" si="81"/>
        <v>A7C771</v>
      </c>
      <c r="Z548">
        <v>0</v>
      </c>
      <c r="AA548">
        <v>0</v>
      </c>
      <c r="AB548">
        <v>2</v>
      </c>
      <c r="AC548">
        <v>0</v>
      </c>
      <c r="AE548">
        <v>0</v>
      </c>
      <c r="AF548">
        <v>8</v>
      </c>
      <c r="AG548">
        <v>3</v>
      </c>
      <c r="AH548">
        <v>0</v>
      </c>
      <c r="AI548">
        <v>9</v>
      </c>
      <c r="AJ548" t="s">
        <v>125</v>
      </c>
      <c r="AK548">
        <v>0</v>
      </c>
      <c r="AL548">
        <v>3</v>
      </c>
      <c r="AM548">
        <v>2</v>
      </c>
      <c r="AN548">
        <v>1</v>
      </c>
      <c r="AO548" t="s">
        <v>1120</v>
      </c>
      <c r="AP548">
        <v>43.124234999999999</v>
      </c>
      <c r="AQ548" t="s">
        <v>1121</v>
      </c>
      <c r="AR548">
        <v>-77.629200999999995</v>
      </c>
      <c r="AS548">
        <v>25</v>
      </c>
      <c r="AT548">
        <v>625</v>
      </c>
      <c r="AU548" t="s">
        <v>123</v>
      </c>
      <c r="AV548">
        <v>-112</v>
      </c>
      <c r="AW548">
        <v>-4</v>
      </c>
      <c r="AX548">
        <v>-576</v>
      </c>
      <c r="AZ548">
        <f t="shared" si="86"/>
        <v>12544</v>
      </c>
      <c r="BA548">
        <f t="shared" si="87"/>
        <v>16</v>
      </c>
      <c r="BB548" s="1">
        <f t="shared" si="88"/>
        <v>112.0714058089752</v>
      </c>
      <c r="BJ548">
        <v>1404</v>
      </c>
      <c r="BK548">
        <v>1</v>
      </c>
      <c r="BL548" t="str">
        <f t="shared" si="82"/>
        <v xml:space="preserve">N600C   </v>
      </c>
      <c r="BM548">
        <v>2</v>
      </c>
      <c r="BO548">
        <v>0</v>
      </c>
      <c r="BP548">
        <v>0</v>
      </c>
      <c r="BQ548">
        <v>0</v>
      </c>
      <c r="BR548">
        <v>875</v>
      </c>
      <c r="BS548">
        <v>250</v>
      </c>
      <c r="BT548" t="s">
        <v>128</v>
      </c>
      <c r="BU548">
        <v>0</v>
      </c>
      <c r="BV548">
        <v>0</v>
      </c>
      <c r="BW548">
        <v>0</v>
      </c>
      <c r="BX548">
        <v>0</v>
      </c>
      <c r="CA548">
        <v>0</v>
      </c>
      <c r="CB548">
        <v>0</v>
      </c>
      <c r="CC548">
        <v>0</v>
      </c>
      <c r="CM548" t="str">
        <f>"17:50:04.344"</f>
        <v>17:50:04.344</v>
      </c>
      <c r="CN548">
        <v>343519160</v>
      </c>
      <c r="CQ548">
        <v>0</v>
      </c>
      <c r="CR548">
        <v>2016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3</v>
      </c>
      <c r="DB548">
        <v>2</v>
      </c>
      <c r="DC548">
        <v>0</v>
      </c>
      <c r="DD548">
        <v>2</v>
      </c>
      <c r="DE548">
        <v>0</v>
      </c>
      <c r="DF548">
        <v>6</v>
      </c>
      <c r="DG548">
        <v>7</v>
      </c>
      <c r="DH548" t="s">
        <v>124</v>
      </c>
      <c r="DI548">
        <v>407</v>
      </c>
      <c r="DJ548">
        <v>3</v>
      </c>
      <c r="DK548" t="s">
        <v>132</v>
      </c>
      <c r="DL548" t="s">
        <v>133</v>
      </c>
      <c r="DO548">
        <v>1825891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1</v>
      </c>
      <c r="DW548">
        <v>0</v>
      </c>
      <c r="DX548">
        <v>0</v>
      </c>
      <c r="DY548">
        <v>0</v>
      </c>
      <c r="DZ548">
        <v>0</v>
      </c>
      <c r="EA548">
        <v>0</v>
      </c>
    </row>
    <row r="549" spans="1:131" x14ac:dyDescent="0.35">
      <c r="A549" s="2" t="str">
        <f>"17:50:05.732"</f>
        <v>17:50:05.732</v>
      </c>
      <c r="B549" s="4">
        <f t="shared" si="89"/>
        <v>64205.732000000004</v>
      </c>
      <c r="C549" s="4">
        <f t="shared" si="83"/>
        <v>605.73200000000361</v>
      </c>
      <c r="D549" s="3">
        <f t="shared" si="84"/>
        <v>0.74312189814814822</v>
      </c>
      <c r="E549" s="2">
        <f t="shared" si="85"/>
        <v>0.74312189814814822</v>
      </c>
      <c r="G549" t="str">
        <f t="shared" si="80"/>
        <v>FFDFD7C0</v>
      </c>
      <c r="H549" t="s">
        <v>126</v>
      </c>
      <c r="I549">
        <v>8</v>
      </c>
      <c r="J549">
        <v>1008</v>
      </c>
      <c r="K549" t="s">
        <v>129</v>
      </c>
      <c r="N549" t="s">
        <v>127</v>
      </c>
      <c r="O549">
        <v>0</v>
      </c>
      <c r="P549">
        <v>3</v>
      </c>
      <c r="Q549">
        <v>0</v>
      </c>
      <c r="R549">
        <v>2</v>
      </c>
      <c r="S549">
        <v>1</v>
      </c>
      <c r="T549">
        <v>0</v>
      </c>
      <c r="U549">
        <v>0</v>
      </c>
      <c r="W549" t="str">
        <f>"17:50:05.375"</f>
        <v>17:50:05.375</v>
      </c>
      <c r="X549" t="str">
        <f>"17:50:04.975"</f>
        <v>17:50:04.975</v>
      </c>
      <c r="Y549" t="str">
        <f t="shared" si="81"/>
        <v>A7C771</v>
      </c>
      <c r="Z549">
        <v>0</v>
      </c>
      <c r="AA549">
        <v>0</v>
      </c>
      <c r="AB549">
        <v>2</v>
      </c>
      <c r="AC549">
        <v>0</v>
      </c>
      <c r="AE549">
        <v>0</v>
      </c>
      <c r="AF549">
        <v>8</v>
      </c>
      <c r="AG549">
        <v>3</v>
      </c>
      <c r="AH549">
        <v>0</v>
      </c>
      <c r="AI549">
        <v>9</v>
      </c>
      <c r="AJ549" t="s">
        <v>125</v>
      </c>
      <c r="AK549">
        <v>0</v>
      </c>
      <c r="AL549">
        <v>3</v>
      </c>
      <c r="AM549">
        <v>2</v>
      </c>
      <c r="AN549">
        <v>1</v>
      </c>
      <c r="AO549" t="s">
        <v>1079</v>
      </c>
      <c r="AP549">
        <v>43.124212999999997</v>
      </c>
      <c r="AQ549" t="s">
        <v>1122</v>
      </c>
      <c r="AR549">
        <v>-77.629974000000004</v>
      </c>
      <c r="AS549">
        <v>25</v>
      </c>
      <c r="AT549">
        <v>600</v>
      </c>
      <c r="AU549" t="s">
        <v>123</v>
      </c>
      <c r="AV549">
        <v>-113</v>
      </c>
      <c r="AW549">
        <v>-5</v>
      </c>
      <c r="AX549">
        <v>-704</v>
      </c>
      <c r="AZ549">
        <f t="shared" si="86"/>
        <v>12769</v>
      </c>
      <c r="BA549">
        <f t="shared" si="87"/>
        <v>25</v>
      </c>
      <c r="BB549" s="1">
        <f t="shared" si="88"/>
        <v>113.11056537742175</v>
      </c>
      <c r="BJ549">
        <v>1404</v>
      </c>
      <c r="BK549">
        <v>1</v>
      </c>
      <c r="BL549" t="str">
        <f t="shared" si="82"/>
        <v xml:space="preserve">N600C   </v>
      </c>
      <c r="BM549">
        <v>2</v>
      </c>
      <c r="BO549">
        <v>0</v>
      </c>
      <c r="BP549">
        <v>0</v>
      </c>
      <c r="BQ549">
        <v>0</v>
      </c>
      <c r="BR549">
        <v>850</v>
      </c>
      <c r="BS549">
        <v>250</v>
      </c>
      <c r="BT549" t="s">
        <v>128</v>
      </c>
      <c r="BU549">
        <v>0</v>
      </c>
      <c r="BV549">
        <v>0</v>
      </c>
      <c r="BW549">
        <v>0</v>
      </c>
      <c r="BX549">
        <v>0</v>
      </c>
      <c r="CA549">
        <v>0</v>
      </c>
      <c r="CB549">
        <v>0</v>
      </c>
      <c r="CC549">
        <v>0</v>
      </c>
      <c r="CM549" t="str">
        <f>"17:50:05.376"</f>
        <v>17:50:05.376</v>
      </c>
      <c r="CN549">
        <v>375708097</v>
      </c>
      <c r="CQ549">
        <v>0</v>
      </c>
      <c r="CR549">
        <v>2016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3</v>
      </c>
      <c r="DB549">
        <v>2</v>
      </c>
      <c r="DC549">
        <v>0</v>
      </c>
      <c r="DD549">
        <v>2</v>
      </c>
      <c r="DE549">
        <v>0</v>
      </c>
      <c r="DF549">
        <v>6</v>
      </c>
      <c r="DG549">
        <v>7</v>
      </c>
      <c r="DH549" t="s">
        <v>124</v>
      </c>
      <c r="DI549">
        <v>407</v>
      </c>
      <c r="DJ549">
        <v>3</v>
      </c>
      <c r="DK549" t="s">
        <v>132</v>
      </c>
      <c r="DL549" t="s">
        <v>133</v>
      </c>
      <c r="DO549">
        <v>1826946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1</v>
      </c>
      <c r="DW549">
        <v>0</v>
      </c>
      <c r="DX549">
        <v>0</v>
      </c>
      <c r="DY549">
        <v>0</v>
      </c>
      <c r="DZ549">
        <v>0</v>
      </c>
      <c r="EA549">
        <v>0</v>
      </c>
    </row>
    <row r="550" spans="1:131" x14ac:dyDescent="0.35">
      <c r="A550" s="2" t="str">
        <f>"17:50:06.550"</f>
        <v>17:50:06.550</v>
      </c>
      <c r="B550" s="4">
        <f t="shared" si="89"/>
        <v>64206.55</v>
      </c>
      <c r="C550" s="4">
        <f t="shared" si="83"/>
        <v>606.55000000000291</v>
      </c>
      <c r="D550" s="3">
        <f t="shared" si="84"/>
        <v>0.74313136574074079</v>
      </c>
      <c r="E550" s="2">
        <f t="shared" si="85"/>
        <v>0.74313136574074079</v>
      </c>
      <c r="G550" t="str">
        <f t="shared" si="80"/>
        <v>FFDFD7C0</v>
      </c>
      <c r="H550" t="s">
        <v>126</v>
      </c>
      <c r="I550">
        <v>8</v>
      </c>
      <c r="J550">
        <v>1008</v>
      </c>
      <c r="K550" t="s">
        <v>129</v>
      </c>
      <c r="N550" t="s">
        <v>127</v>
      </c>
      <c r="O550">
        <v>0</v>
      </c>
      <c r="P550">
        <v>3</v>
      </c>
      <c r="Q550">
        <v>0</v>
      </c>
      <c r="R550">
        <v>2</v>
      </c>
      <c r="S550">
        <v>1</v>
      </c>
      <c r="T550">
        <v>0</v>
      </c>
      <c r="U550">
        <v>0</v>
      </c>
      <c r="W550" t="str">
        <f>"17:50:06.328"</f>
        <v>17:50:06.328</v>
      </c>
      <c r="X550" t="str">
        <f>"17:50:05.928"</f>
        <v>17:50:05.928</v>
      </c>
      <c r="Y550" t="str">
        <f t="shared" si="81"/>
        <v>A7C771</v>
      </c>
      <c r="Z550">
        <v>0</v>
      </c>
      <c r="AA550">
        <v>0</v>
      </c>
      <c r="AB550">
        <v>2</v>
      </c>
      <c r="AC550">
        <v>0</v>
      </c>
      <c r="AE550">
        <v>0</v>
      </c>
      <c r="AF550">
        <v>8</v>
      </c>
      <c r="AG550">
        <v>3</v>
      </c>
      <c r="AH550">
        <v>0</v>
      </c>
      <c r="AI550">
        <v>9</v>
      </c>
      <c r="AJ550" t="s">
        <v>125</v>
      </c>
      <c r="AK550">
        <v>0</v>
      </c>
      <c r="AL550">
        <v>3</v>
      </c>
      <c r="AM550">
        <v>2</v>
      </c>
      <c r="AN550">
        <v>1</v>
      </c>
      <c r="AO550" t="s">
        <v>1123</v>
      </c>
      <c r="AP550">
        <v>43.124169999999999</v>
      </c>
      <c r="AQ550" t="s">
        <v>1124</v>
      </c>
      <c r="AR550">
        <v>-77.630639000000002</v>
      </c>
      <c r="AS550">
        <v>25</v>
      </c>
      <c r="AT550">
        <v>600</v>
      </c>
      <c r="AU550" t="s">
        <v>123</v>
      </c>
      <c r="AV550">
        <v>-113</v>
      </c>
      <c r="AW550">
        <v>-6</v>
      </c>
      <c r="AX550">
        <v>-704</v>
      </c>
      <c r="AZ550">
        <f t="shared" si="86"/>
        <v>12769</v>
      </c>
      <c r="BA550">
        <f t="shared" si="87"/>
        <v>36</v>
      </c>
      <c r="BB550" s="1">
        <f t="shared" si="88"/>
        <v>113.1591799192624</v>
      </c>
      <c r="BJ550">
        <v>1404</v>
      </c>
      <c r="BK550">
        <v>1</v>
      </c>
      <c r="BL550" t="str">
        <f t="shared" si="82"/>
        <v xml:space="preserve">N600C   </v>
      </c>
      <c r="BM550">
        <v>2</v>
      </c>
      <c r="BO550">
        <v>0</v>
      </c>
      <c r="BP550">
        <v>0</v>
      </c>
      <c r="BQ550">
        <v>0</v>
      </c>
      <c r="BR550">
        <v>850</v>
      </c>
      <c r="BS550">
        <v>250</v>
      </c>
      <c r="BT550" t="s">
        <v>128</v>
      </c>
      <c r="BU550">
        <v>0</v>
      </c>
      <c r="BV550">
        <v>0</v>
      </c>
      <c r="BW550">
        <v>0</v>
      </c>
      <c r="BX550">
        <v>0</v>
      </c>
      <c r="CA550">
        <v>0</v>
      </c>
      <c r="CB550">
        <v>0</v>
      </c>
      <c r="CC550">
        <v>0</v>
      </c>
      <c r="CM550" t="str">
        <f>"17:50:06.336"</f>
        <v>17:50:06.336</v>
      </c>
      <c r="CN550">
        <v>335855590</v>
      </c>
      <c r="CQ550">
        <v>0</v>
      </c>
      <c r="CR550">
        <v>2016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3</v>
      </c>
      <c r="DB550">
        <v>2</v>
      </c>
      <c r="DC550">
        <v>0</v>
      </c>
      <c r="DD550">
        <v>2</v>
      </c>
      <c r="DE550">
        <v>0</v>
      </c>
      <c r="DF550">
        <v>6</v>
      </c>
      <c r="DG550">
        <v>7</v>
      </c>
      <c r="DH550" t="s">
        <v>124</v>
      </c>
      <c r="DI550">
        <v>71</v>
      </c>
      <c r="DJ550">
        <v>0</v>
      </c>
      <c r="DK550" t="s">
        <v>134</v>
      </c>
      <c r="DL550" t="s">
        <v>135</v>
      </c>
      <c r="DO550">
        <v>10342408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1</v>
      </c>
      <c r="DW550">
        <v>0</v>
      </c>
      <c r="DX550">
        <v>0</v>
      </c>
      <c r="DY550">
        <v>0</v>
      </c>
      <c r="DZ550">
        <v>0</v>
      </c>
      <c r="EA550">
        <v>0</v>
      </c>
    </row>
    <row r="551" spans="1:131" x14ac:dyDescent="0.35">
      <c r="A551" s="2" t="str">
        <f>"17:50:07.723"</f>
        <v>17:50:07.723</v>
      </c>
      <c r="B551" s="4">
        <f t="shared" si="89"/>
        <v>64207.722999999991</v>
      </c>
      <c r="C551" s="4">
        <f t="shared" si="83"/>
        <v>607.72299999999086</v>
      </c>
      <c r="D551" s="3">
        <f t="shared" si="84"/>
        <v>0.74314494212962956</v>
      </c>
      <c r="E551" s="2">
        <f t="shared" si="85"/>
        <v>0.74314494212962956</v>
      </c>
      <c r="G551" t="str">
        <f t="shared" si="80"/>
        <v>FFDFD7C0</v>
      </c>
      <c r="H551" t="s">
        <v>126</v>
      </c>
      <c r="I551">
        <v>8</v>
      </c>
      <c r="J551">
        <v>1008</v>
      </c>
      <c r="K551" t="s">
        <v>129</v>
      </c>
      <c r="N551" t="s">
        <v>127</v>
      </c>
      <c r="O551">
        <v>0</v>
      </c>
      <c r="P551">
        <v>3</v>
      </c>
      <c r="Q551">
        <v>0</v>
      </c>
      <c r="R551">
        <v>2</v>
      </c>
      <c r="S551">
        <v>1</v>
      </c>
      <c r="T551">
        <v>0</v>
      </c>
      <c r="U551">
        <v>0</v>
      </c>
      <c r="W551" t="str">
        <f>"17:50:07.398"</f>
        <v>17:50:07.398</v>
      </c>
      <c r="X551" t="str">
        <f>"17:50:06.998"</f>
        <v>17:50:06.998</v>
      </c>
      <c r="Y551" t="str">
        <f t="shared" si="81"/>
        <v>A7C771</v>
      </c>
      <c r="Z551">
        <v>0</v>
      </c>
      <c r="AA551">
        <v>0</v>
      </c>
      <c r="AB551">
        <v>2</v>
      </c>
      <c r="AC551">
        <v>0</v>
      </c>
      <c r="AE551">
        <v>0</v>
      </c>
      <c r="AF551">
        <v>8</v>
      </c>
      <c r="AG551">
        <v>3</v>
      </c>
      <c r="AH551">
        <v>0</v>
      </c>
      <c r="AI551">
        <v>9</v>
      </c>
      <c r="AJ551" t="s">
        <v>125</v>
      </c>
      <c r="AK551">
        <v>0</v>
      </c>
      <c r="AL551">
        <v>3</v>
      </c>
      <c r="AM551">
        <v>2</v>
      </c>
      <c r="AN551">
        <v>1</v>
      </c>
      <c r="AO551" t="s">
        <v>1123</v>
      </c>
      <c r="AP551">
        <v>43.124169999999999</v>
      </c>
      <c r="AQ551" t="s">
        <v>1125</v>
      </c>
      <c r="AR551">
        <v>-77.631433000000001</v>
      </c>
      <c r="AS551">
        <v>25</v>
      </c>
      <c r="AT551">
        <v>575</v>
      </c>
      <c r="AU551" t="s">
        <v>123</v>
      </c>
      <c r="AV551">
        <v>-113</v>
      </c>
      <c r="AW551">
        <v>-6</v>
      </c>
      <c r="AX551">
        <v>-640</v>
      </c>
      <c r="AZ551">
        <f t="shared" si="86"/>
        <v>12769</v>
      </c>
      <c r="BA551">
        <f t="shared" si="87"/>
        <v>36</v>
      </c>
      <c r="BB551" s="1">
        <f t="shared" si="88"/>
        <v>113.1591799192624</v>
      </c>
      <c r="BJ551">
        <v>1404</v>
      </c>
      <c r="BK551">
        <v>1</v>
      </c>
      <c r="BL551" t="str">
        <f t="shared" si="82"/>
        <v xml:space="preserve">N600C   </v>
      </c>
      <c r="BM551">
        <v>2</v>
      </c>
      <c r="BO551">
        <v>0</v>
      </c>
      <c r="BP551">
        <v>0</v>
      </c>
      <c r="BQ551">
        <v>0</v>
      </c>
      <c r="BR551">
        <v>825</v>
      </c>
      <c r="BS551">
        <v>250</v>
      </c>
      <c r="BT551" t="s">
        <v>128</v>
      </c>
      <c r="BU551">
        <v>0</v>
      </c>
      <c r="BV551">
        <v>0</v>
      </c>
      <c r="BW551">
        <v>0</v>
      </c>
      <c r="BX551">
        <v>0</v>
      </c>
      <c r="CA551">
        <v>0</v>
      </c>
      <c r="CB551">
        <v>0</v>
      </c>
      <c r="CC551">
        <v>0</v>
      </c>
      <c r="CM551" t="str">
        <f>"17:50:07.400"</f>
        <v>17:50:07.400</v>
      </c>
      <c r="CN551">
        <v>400073502</v>
      </c>
      <c r="CQ551">
        <v>0</v>
      </c>
      <c r="CR551">
        <v>2016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3</v>
      </c>
      <c r="DB551">
        <v>2</v>
      </c>
      <c r="DC551">
        <v>0</v>
      </c>
      <c r="DD551">
        <v>2</v>
      </c>
      <c r="DE551">
        <v>0</v>
      </c>
      <c r="DF551">
        <v>6</v>
      </c>
      <c r="DG551">
        <v>7</v>
      </c>
      <c r="DH551" t="s">
        <v>124</v>
      </c>
      <c r="DI551">
        <v>407</v>
      </c>
      <c r="DJ551">
        <v>3</v>
      </c>
      <c r="DK551" t="s">
        <v>132</v>
      </c>
      <c r="DL551" t="s">
        <v>133</v>
      </c>
      <c r="DO551">
        <v>1828926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1</v>
      </c>
      <c r="DW551">
        <v>0</v>
      </c>
      <c r="DX551">
        <v>0</v>
      </c>
      <c r="DY551">
        <v>0</v>
      </c>
      <c r="DZ551">
        <v>0</v>
      </c>
      <c r="EA551">
        <v>0</v>
      </c>
    </row>
    <row r="552" spans="1:131" x14ac:dyDescent="0.35">
      <c r="A552" s="2" t="str">
        <f>"17:50:08.661"</f>
        <v>17:50:08.661</v>
      </c>
      <c r="B552" s="4">
        <f t="shared" si="89"/>
        <v>64208.661</v>
      </c>
      <c r="C552" s="4">
        <f t="shared" si="83"/>
        <v>608.66100000000006</v>
      </c>
      <c r="D552" s="3">
        <f t="shared" si="84"/>
        <v>0.74315579861111114</v>
      </c>
      <c r="E552" s="2">
        <f t="shared" si="85"/>
        <v>0.74315579861111114</v>
      </c>
      <c r="G552" t="str">
        <f t="shared" si="80"/>
        <v>FFDFD7C0</v>
      </c>
      <c r="H552" t="s">
        <v>126</v>
      </c>
      <c r="I552">
        <v>8</v>
      </c>
      <c r="J552">
        <v>1008</v>
      </c>
      <c r="K552" t="s">
        <v>129</v>
      </c>
      <c r="N552" t="s">
        <v>127</v>
      </c>
      <c r="O552">
        <v>0</v>
      </c>
      <c r="P552">
        <v>3</v>
      </c>
      <c r="Q552">
        <v>0</v>
      </c>
      <c r="R552">
        <v>2</v>
      </c>
      <c r="S552">
        <v>1</v>
      </c>
      <c r="T552">
        <v>0</v>
      </c>
      <c r="U552">
        <v>0</v>
      </c>
      <c r="W552" t="str">
        <f>"17:50:08.375"</f>
        <v>17:50:08.375</v>
      </c>
      <c r="X552" t="str">
        <f>"17:50:07.975"</f>
        <v>17:50:07.975</v>
      </c>
      <c r="Y552" t="str">
        <f t="shared" si="81"/>
        <v>A7C771</v>
      </c>
      <c r="Z552">
        <v>0</v>
      </c>
      <c r="AA552">
        <v>0</v>
      </c>
      <c r="AB552">
        <v>2</v>
      </c>
      <c r="AC552">
        <v>0</v>
      </c>
      <c r="AE552">
        <v>0</v>
      </c>
      <c r="AF552">
        <v>8</v>
      </c>
      <c r="AG552">
        <v>3</v>
      </c>
      <c r="AH552">
        <v>0</v>
      </c>
      <c r="AI552">
        <v>9</v>
      </c>
      <c r="AJ552" t="s">
        <v>125</v>
      </c>
      <c r="AK552">
        <v>0</v>
      </c>
      <c r="AL552">
        <v>3</v>
      </c>
      <c r="AM552">
        <v>2</v>
      </c>
      <c r="AN552">
        <v>1</v>
      </c>
      <c r="AO552" t="s">
        <v>1077</v>
      </c>
      <c r="AP552">
        <v>43.124127000000001</v>
      </c>
      <c r="AQ552" t="s">
        <v>1126</v>
      </c>
      <c r="AR552">
        <v>-77.632141000000004</v>
      </c>
      <c r="AS552">
        <v>25</v>
      </c>
      <c r="AT552">
        <v>575</v>
      </c>
      <c r="AU552" t="s">
        <v>123</v>
      </c>
      <c r="AV552">
        <v>-113</v>
      </c>
      <c r="AW552">
        <v>-5</v>
      </c>
      <c r="AX552">
        <v>-704</v>
      </c>
      <c r="AZ552">
        <f t="shared" si="86"/>
        <v>12769</v>
      </c>
      <c r="BA552">
        <f t="shared" si="87"/>
        <v>25</v>
      </c>
      <c r="BB552" s="1">
        <f t="shared" si="88"/>
        <v>113.11056537742175</v>
      </c>
      <c r="BJ552">
        <v>1404</v>
      </c>
      <c r="BK552">
        <v>1</v>
      </c>
      <c r="BL552" t="str">
        <f t="shared" si="82"/>
        <v xml:space="preserve">N600C   </v>
      </c>
      <c r="BM552">
        <v>2</v>
      </c>
      <c r="BO552">
        <v>0</v>
      </c>
      <c r="BP552">
        <v>0</v>
      </c>
      <c r="BQ552">
        <v>0</v>
      </c>
      <c r="BR552">
        <v>825</v>
      </c>
      <c r="BS552">
        <v>250</v>
      </c>
      <c r="BT552" t="s">
        <v>128</v>
      </c>
      <c r="BU552">
        <v>0</v>
      </c>
      <c r="BV552">
        <v>0</v>
      </c>
      <c r="BW552">
        <v>0</v>
      </c>
      <c r="BX552">
        <v>0</v>
      </c>
      <c r="CA552">
        <v>0</v>
      </c>
      <c r="CB552">
        <v>0</v>
      </c>
      <c r="CC552">
        <v>0</v>
      </c>
      <c r="CM552" t="str">
        <f>"17:50:08.376"</f>
        <v>17:50:08.376</v>
      </c>
      <c r="CN552">
        <v>376234770</v>
      </c>
      <c r="CQ552">
        <v>0</v>
      </c>
      <c r="CR552">
        <v>2016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3</v>
      </c>
      <c r="DB552">
        <v>2</v>
      </c>
      <c r="DC552">
        <v>0</v>
      </c>
      <c r="DD552">
        <v>2</v>
      </c>
      <c r="DE552">
        <v>0</v>
      </c>
      <c r="DF552">
        <v>4</v>
      </c>
      <c r="DG552">
        <v>7</v>
      </c>
      <c r="DH552" t="s">
        <v>124</v>
      </c>
      <c r="DI552">
        <v>71</v>
      </c>
      <c r="DJ552">
        <v>0</v>
      </c>
      <c r="DK552" t="s">
        <v>134</v>
      </c>
      <c r="DL552" t="s">
        <v>135</v>
      </c>
      <c r="DO552">
        <v>10343790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1</v>
      </c>
      <c r="DW552">
        <v>0</v>
      </c>
      <c r="DX552">
        <v>0</v>
      </c>
      <c r="DY552">
        <v>0</v>
      </c>
      <c r="DZ552">
        <v>0</v>
      </c>
      <c r="EA552">
        <v>0</v>
      </c>
    </row>
    <row r="553" spans="1:131" x14ac:dyDescent="0.35">
      <c r="A553" s="2" t="str">
        <f>"17:50:09.492"</f>
        <v>17:50:09.492</v>
      </c>
      <c r="B553" s="4">
        <f t="shared" si="89"/>
        <v>64209.491999999998</v>
      </c>
      <c r="C553" s="4">
        <f t="shared" si="83"/>
        <v>609.49199999999837</v>
      </c>
      <c r="D553" s="3">
        <f t="shared" si="84"/>
        <v>0.74316541666666669</v>
      </c>
      <c r="E553" s="2">
        <f t="shared" si="85"/>
        <v>0.74316541666666669</v>
      </c>
      <c r="G553" t="str">
        <f t="shared" si="80"/>
        <v>FFDFD7C0</v>
      </c>
      <c r="H553" t="s">
        <v>126</v>
      </c>
      <c r="I553">
        <v>8</v>
      </c>
      <c r="J553">
        <v>1008</v>
      </c>
      <c r="K553" t="s">
        <v>129</v>
      </c>
      <c r="N553" t="s">
        <v>127</v>
      </c>
      <c r="O553">
        <v>0</v>
      </c>
      <c r="P553">
        <v>3</v>
      </c>
      <c r="Q553">
        <v>0</v>
      </c>
      <c r="R553">
        <v>2</v>
      </c>
      <c r="S553">
        <v>1</v>
      </c>
      <c r="T553">
        <v>0</v>
      </c>
      <c r="U553">
        <v>0</v>
      </c>
      <c r="W553" t="str">
        <f>"17:50:09.250"</f>
        <v>17:50:09.250</v>
      </c>
      <c r="X553" t="str">
        <f>"17:50:09.050"</f>
        <v>17:50:09.050</v>
      </c>
      <c r="Y553" t="str">
        <f t="shared" si="81"/>
        <v>A7C771</v>
      </c>
      <c r="Z553">
        <v>0</v>
      </c>
      <c r="AA553">
        <v>0</v>
      </c>
      <c r="AB553">
        <v>2</v>
      </c>
      <c r="AC553">
        <v>0</v>
      </c>
      <c r="AE553">
        <v>0</v>
      </c>
      <c r="AF553">
        <v>8</v>
      </c>
      <c r="AG553">
        <v>3</v>
      </c>
      <c r="AH553">
        <v>0</v>
      </c>
      <c r="AI553">
        <v>9</v>
      </c>
      <c r="AJ553" t="s">
        <v>125</v>
      </c>
      <c r="AK553">
        <v>0</v>
      </c>
      <c r="AL553">
        <v>3</v>
      </c>
      <c r="AM553">
        <v>2</v>
      </c>
      <c r="AN553">
        <v>1</v>
      </c>
      <c r="AO553" t="s">
        <v>1077</v>
      </c>
      <c r="AP553">
        <v>43.124127000000001</v>
      </c>
      <c r="AQ553" t="s">
        <v>1127</v>
      </c>
      <c r="AR553">
        <v>-77.632784999999998</v>
      </c>
      <c r="AS553">
        <v>25</v>
      </c>
      <c r="AT553">
        <v>550</v>
      </c>
      <c r="AU553" t="s">
        <v>123</v>
      </c>
      <c r="AV553">
        <v>-113</v>
      </c>
      <c r="AW553">
        <v>-4</v>
      </c>
      <c r="AX553">
        <v>-704</v>
      </c>
      <c r="AZ553">
        <f t="shared" si="86"/>
        <v>12769</v>
      </c>
      <c r="BA553">
        <f t="shared" si="87"/>
        <v>16</v>
      </c>
      <c r="BB553" s="1">
        <f t="shared" si="88"/>
        <v>113.07077429645558</v>
      </c>
      <c r="BJ553">
        <v>1404</v>
      </c>
      <c r="BK553">
        <v>1</v>
      </c>
      <c r="BL553" t="str">
        <f t="shared" si="82"/>
        <v xml:space="preserve">N600C   </v>
      </c>
      <c r="BM553">
        <v>2</v>
      </c>
      <c r="BO553">
        <v>0</v>
      </c>
      <c r="BP553">
        <v>0</v>
      </c>
      <c r="BQ553">
        <v>0</v>
      </c>
      <c r="BR553">
        <v>800</v>
      </c>
      <c r="BS553">
        <v>250</v>
      </c>
      <c r="BT553" t="s">
        <v>128</v>
      </c>
      <c r="BU553">
        <v>0</v>
      </c>
      <c r="BV553">
        <v>0</v>
      </c>
      <c r="BW553">
        <v>0</v>
      </c>
      <c r="BX553">
        <v>0</v>
      </c>
      <c r="CA553">
        <v>0</v>
      </c>
      <c r="CB553">
        <v>0</v>
      </c>
      <c r="CC553">
        <v>0</v>
      </c>
      <c r="CM553" t="str">
        <f>"17:50:09.256"</f>
        <v>17:50:09.256</v>
      </c>
      <c r="CN553">
        <v>256412363</v>
      </c>
      <c r="CQ553">
        <v>0</v>
      </c>
      <c r="CR553">
        <v>2016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3</v>
      </c>
      <c r="DB553">
        <v>2</v>
      </c>
      <c r="DC553">
        <v>0</v>
      </c>
      <c r="DD553">
        <v>2</v>
      </c>
      <c r="DE553">
        <v>0</v>
      </c>
      <c r="DF553">
        <v>5</v>
      </c>
      <c r="DG553">
        <v>7</v>
      </c>
      <c r="DH553" t="s">
        <v>124</v>
      </c>
      <c r="DI553">
        <v>71</v>
      </c>
      <c r="DJ553">
        <v>0</v>
      </c>
      <c r="DK553" t="s">
        <v>134</v>
      </c>
      <c r="DL553" t="s">
        <v>135</v>
      </c>
      <c r="DO553">
        <v>10344427</v>
      </c>
      <c r="DQ553">
        <v>0</v>
      </c>
      <c r="DR553">
        <v>0</v>
      </c>
      <c r="DS553">
        <v>1</v>
      </c>
      <c r="DT553">
        <v>0</v>
      </c>
      <c r="DU553">
        <v>0</v>
      </c>
      <c r="DV553">
        <v>1</v>
      </c>
      <c r="DW553">
        <v>0</v>
      </c>
      <c r="DX553">
        <v>0</v>
      </c>
      <c r="DY553">
        <v>0</v>
      </c>
      <c r="DZ553">
        <v>0</v>
      </c>
      <c r="EA553">
        <v>0</v>
      </c>
    </row>
    <row r="554" spans="1:131" x14ac:dyDescent="0.35">
      <c r="A554" s="2" t="str">
        <f>"17:50:10.461"</f>
        <v>17:50:10.461</v>
      </c>
      <c r="B554" s="4">
        <f t="shared" si="89"/>
        <v>64210.461000000003</v>
      </c>
      <c r="C554" s="4">
        <f t="shared" si="83"/>
        <v>610.46100000000297</v>
      </c>
      <c r="D554" s="3">
        <f t="shared" si="84"/>
        <v>0.7431766319444445</v>
      </c>
      <c r="E554" s="2">
        <f t="shared" si="85"/>
        <v>0.7431766319444445</v>
      </c>
      <c r="G554" t="str">
        <f t="shared" si="80"/>
        <v>FFDFD7C0</v>
      </c>
      <c r="H554" t="s">
        <v>126</v>
      </c>
      <c r="I554">
        <v>8</v>
      </c>
      <c r="J554">
        <v>1008</v>
      </c>
      <c r="K554" t="s">
        <v>129</v>
      </c>
      <c r="N554" t="s">
        <v>127</v>
      </c>
      <c r="O554">
        <v>0</v>
      </c>
      <c r="P554">
        <v>3</v>
      </c>
      <c r="Q554">
        <v>0</v>
      </c>
      <c r="R554">
        <v>2</v>
      </c>
      <c r="S554">
        <v>1</v>
      </c>
      <c r="T554">
        <v>0</v>
      </c>
      <c r="U554">
        <v>0</v>
      </c>
      <c r="W554" t="str">
        <f>"17:50:10.141"</f>
        <v>17:50:10.141</v>
      </c>
      <c r="X554" t="str">
        <f>"17:50:10.041"</f>
        <v>17:50:10.041</v>
      </c>
      <c r="Y554" t="str">
        <f t="shared" si="81"/>
        <v>A7C771</v>
      </c>
      <c r="Z554">
        <v>0</v>
      </c>
      <c r="AA554">
        <v>0</v>
      </c>
      <c r="AB554">
        <v>2</v>
      </c>
      <c r="AC554">
        <v>0</v>
      </c>
      <c r="AE554">
        <v>0</v>
      </c>
      <c r="AF554">
        <v>8</v>
      </c>
      <c r="AG554">
        <v>3</v>
      </c>
      <c r="AH554">
        <v>0</v>
      </c>
      <c r="AI554">
        <v>9</v>
      </c>
      <c r="AJ554" t="s">
        <v>125</v>
      </c>
      <c r="AK554">
        <v>0</v>
      </c>
      <c r="AL554">
        <v>3</v>
      </c>
      <c r="AM554">
        <v>2</v>
      </c>
      <c r="AN554">
        <v>1</v>
      </c>
      <c r="AO554" t="s">
        <v>1077</v>
      </c>
      <c r="AP554">
        <v>43.124127000000001</v>
      </c>
      <c r="AQ554" t="s">
        <v>1128</v>
      </c>
      <c r="AR554">
        <v>-77.633386000000002</v>
      </c>
      <c r="AS554">
        <v>25</v>
      </c>
      <c r="AT554">
        <v>550</v>
      </c>
      <c r="AU554" t="s">
        <v>123</v>
      </c>
      <c r="AV554">
        <v>-114</v>
      </c>
      <c r="AW554">
        <v>-4</v>
      </c>
      <c r="AX554">
        <v>-832</v>
      </c>
      <c r="AZ554">
        <f t="shared" si="86"/>
        <v>12996</v>
      </c>
      <c r="BA554">
        <f t="shared" si="87"/>
        <v>16</v>
      </c>
      <c r="BB554" s="1">
        <f t="shared" si="88"/>
        <v>114.0701538527936</v>
      </c>
      <c r="BJ554">
        <v>1404</v>
      </c>
      <c r="BK554">
        <v>1</v>
      </c>
      <c r="BL554" t="str">
        <f t="shared" si="82"/>
        <v xml:space="preserve">N600C   </v>
      </c>
      <c r="BM554">
        <v>2</v>
      </c>
      <c r="BO554">
        <v>0</v>
      </c>
      <c r="BP554">
        <v>0</v>
      </c>
      <c r="BQ554">
        <v>0</v>
      </c>
      <c r="BR554">
        <v>800</v>
      </c>
      <c r="BS554">
        <v>250</v>
      </c>
      <c r="BT554" t="s">
        <v>128</v>
      </c>
      <c r="BU554">
        <v>0</v>
      </c>
      <c r="BV554">
        <v>0</v>
      </c>
      <c r="BW554">
        <v>0</v>
      </c>
      <c r="BX554">
        <v>0</v>
      </c>
      <c r="CA554">
        <v>0</v>
      </c>
      <c r="CB554">
        <v>0</v>
      </c>
      <c r="CC554">
        <v>0</v>
      </c>
      <c r="CM554" t="str">
        <f>"17:50:10.145"</f>
        <v>17:50:10.145</v>
      </c>
      <c r="CN554">
        <v>144573908</v>
      </c>
      <c r="CQ554">
        <v>0</v>
      </c>
      <c r="CR554">
        <v>2016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3</v>
      </c>
      <c r="DB554">
        <v>2</v>
      </c>
      <c r="DC554">
        <v>0</v>
      </c>
      <c r="DD554">
        <v>2</v>
      </c>
      <c r="DE554">
        <v>0</v>
      </c>
      <c r="DF554">
        <v>5</v>
      </c>
      <c r="DG554">
        <v>7</v>
      </c>
      <c r="DH554" t="s">
        <v>124</v>
      </c>
      <c r="DI554">
        <v>71</v>
      </c>
      <c r="DJ554">
        <v>0</v>
      </c>
      <c r="DK554" t="s">
        <v>134</v>
      </c>
      <c r="DL554" t="s">
        <v>135</v>
      </c>
      <c r="DO554">
        <v>10345051</v>
      </c>
      <c r="DQ554">
        <v>0</v>
      </c>
      <c r="DR554">
        <v>0</v>
      </c>
      <c r="DS554">
        <v>1</v>
      </c>
      <c r="DT554">
        <v>0</v>
      </c>
      <c r="DU554">
        <v>0</v>
      </c>
      <c r="DV554">
        <v>1</v>
      </c>
      <c r="DW554">
        <v>0</v>
      </c>
      <c r="DX554">
        <v>0</v>
      </c>
      <c r="DY554">
        <v>0</v>
      </c>
      <c r="DZ554">
        <v>0</v>
      </c>
      <c r="EA554">
        <v>0</v>
      </c>
    </row>
    <row r="555" spans="1:131" x14ac:dyDescent="0.35">
      <c r="A555" s="2" t="str">
        <f>"17:50:11.445"</f>
        <v>17:50:11.445</v>
      </c>
      <c r="B555" s="4">
        <f t="shared" si="89"/>
        <v>64211.445</v>
      </c>
      <c r="C555" s="4">
        <f t="shared" si="83"/>
        <v>611.44499999999971</v>
      </c>
      <c r="D555" s="3">
        <f t="shared" si="84"/>
        <v>0.74318802083333335</v>
      </c>
      <c r="E555" s="2">
        <f t="shared" si="85"/>
        <v>0.74318802083333335</v>
      </c>
      <c r="G555" t="str">
        <f t="shared" si="80"/>
        <v>FFDFD7C0</v>
      </c>
      <c r="H555" t="s">
        <v>126</v>
      </c>
      <c r="I555">
        <v>8</v>
      </c>
      <c r="J555">
        <v>1008</v>
      </c>
      <c r="K555" t="s">
        <v>129</v>
      </c>
      <c r="N555" t="s">
        <v>127</v>
      </c>
      <c r="O555">
        <v>0</v>
      </c>
      <c r="P555">
        <v>3</v>
      </c>
      <c r="Q555">
        <v>0</v>
      </c>
      <c r="R555">
        <v>2</v>
      </c>
      <c r="S555">
        <v>1</v>
      </c>
      <c r="T555">
        <v>0</v>
      </c>
      <c r="U555">
        <v>0</v>
      </c>
      <c r="W555" t="str">
        <f>"17:50:11.102"</f>
        <v>17:50:11.102</v>
      </c>
      <c r="X555" t="str">
        <f>"17:50:11.102"</f>
        <v>17:50:11.102</v>
      </c>
      <c r="Y555" t="str">
        <f t="shared" si="81"/>
        <v>A7C771</v>
      </c>
      <c r="Z555">
        <v>0</v>
      </c>
      <c r="AA555">
        <v>0</v>
      </c>
      <c r="AB555">
        <v>2</v>
      </c>
      <c r="AC555">
        <v>0</v>
      </c>
      <c r="AE555">
        <v>0</v>
      </c>
      <c r="AF555">
        <v>8</v>
      </c>
      <c r="AG555">
        <v>3</v>
      </c>
      <c r="AH555">
        <v>0</v>
      </c>
      <c r="AI555">
        <v>9</v>
      </c>
      <c r="AJ555" t="s">
        <v>125</v>
      </c>
      <c r="AK555">
        <v>0</v>
      </c>
      <c r="AL555">
        <v>3</v>
      </c>
      <c r="AM555">
        <v>2</v>
      </c>
      <c r="AN555">
        <v>1</v>
      </c>
      <c r="AO555" t="s">
        <v>1129</v>
      </c>
      <c r="AP555">
        <v>43.124084000000003</v>
      </c>
      <c r="AQ555" t="s">
        <v>1130</v>
      </c>
      <c r="AR555">
        <v>-77.634094000000005</v>
      </c>
      <c r="AS555">
        <v>25</v>
      </c>
      <c r="AT555">
        <v>525</v>
      </c>
      <c r="AU555" t="s">
        <v>123</v>
      </c>
      <c r="AV555">
        <v>-114</v>
      </c>
      <c r="AW555">
        <v>-4</v>
      </c>
      <c r="AX555">
        <v>-832</v>
      </c>
      <c r="AZ555">
        <f t="shared" si="86"/>
        <v>12996</v>
      </c>
      <c r="BA555">
        <f t="shared" si="87"/>
        <v>16</v>
      </c>
      <c r="BB555" s="1">
        <f t="shared" si="88"/>
        <v>114.0701538527936</v>
      </c>
      <c r="BJ555">
        <v>1404</v>
      </c>
      <c r="BK555">
        <v>1</v>
      </c>
      <c r="BL555" t="str">
        <f t="shared" si="82"/>
        <v xml:space="preserve">N600C   </v>
      </c>
      <c r="BM555">
        <v>2</v>
      </c>
      <c r="BO555">
        <v>0</v>
      </c>
      <c r="BP555">
        <v>0</v>
      </c>
      <c r="BQ555">
        <v>0</v>
      </c>
      <c r="BR555">
        <v>775</v>
      </c>
      <c r="BS555">
        <v>250</v>
      </c>
      <c r="BT555" t="s">
        <v>128</v>
      </c>
      <c r="BU555">
        <v>0</v>
      </c>
      <c r="BV555">
        <v>0</v>
      </c>
      <c r="BW555">
        <v>0</v>
      </c>
      <c r="BX555">
        <v>0</v>
      </c>
      <c r="CA555">
        <v>0</v>
      </c>
      <c r="CB555">
        <v>0</v>
      </c>
      <c r="CC555">
        <v>0</v>
      </c>
      <c r="CM555" t="str">
        <f>"17:50:11.105"</f>
        <v>17:50:11.105</v>
      </c>
      <c r="CN555">
        <v>104758313</v>
      </c>
      <c r="CQ555">
        <v>0</v>
      </c>
      <c r="CR555">
        <v>2016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3</v>
      </c>
      <c r="DB555">
        <v>2</v>
      </c>
      <c r="DC555">
        <v>0</v>
      </c>
      <c r="DD555">
        <v>2</v>
      </c>
      <c r="DE555">
        <v>0</v>
      </c>
      <c r="DF555">
        <v>6</v>
      </c>
      <c r="DG555">
        <v>7</v>
      </c>
      <c r="DH555" t="s">
        <v>124</v>
      </c>
      <c r="DI555">
        <v>71</v>
      </c>
      <c r="DJ555">
        <v>0</v>
      </c>
      <c r="DK555" t="s">
        <v>134</v>
      </c>
      <c r="DL555" t="s">
        <v>135</v>
      </c>
      <c r="DO555">
        <v>10345733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1</v>
      </c>
      <c r="DW555">
        <v>0</v>
      </c>
      <c r="DX555">
        <v>0</v>
      </c>
      <c r="DY555">
        <v>0</v>
      </c>
      <c r="DZ555">
        <v>0</v>
      </c>
      <c r="EA555">
        <v>0</v>
      </c>
    </row>
    <row r="556" spans="1:131" x14ac:dyDescent="0.35">
      <c r="A556" s="2" t="str">
        <f>"17:50:12.383"</f>
        <v>17:50:12.383</v>
      </c>
      <c r="B556" s="4">
        <f t="shared" si="89"/>
        <v>64212.383000000002</v>
      </c>
      <c r="C556" s="4">
        <f t="shared" si="83"/>
        <v>612.38300000000163</v>
      </c>
      <c r="D556" s="3">
        <f t="shared" si="84"/>
        <v>0.74319887731481482</v>
      </c>
      <c r="E556" s="2">
        <f t="shared" si="85"/>
        <v>0.74319887731481482</v>
      </c>
      <c r="G556" t="str">
        <f t="shared" si="80"/>
        <v>FFDFD7C0</v>
      </c>
      <c r="H556" t="s">
        <v>126</v>
      </c>
      <c r="I556">
        <v>8</v>
      </c>
      <c r="J556">
        <v>1008</v>
      </c>
      <c r="K556" t="s">
        <v>129</v>
      </c>
      <c r="N556" t="s">
        <v>127</v>
      </c>
      <c r="O556">
        <v>0</v>
      </c>
      <c r="P556">
        <v>3</v>
      </c>
      <c r="Q556">
        <v>0</v>
      </c>
      <c r="R556">
        <v>2</v>
      </c>
      <c r="S556">
        <v>1</v>
      </c>
      <c r="T556">
        <v>0</v>
      </c>
      <c r="U556">
        <v>0</v>
      </c>
      <c r="W556" t="str">
        <f>"17:50:12.078"</f>
        <v>17:50:12.078</v>
      </c>
      <c r="X556" t="str">
        <f>"17:50:11.678"</f>
        <v>17:50:11.678</v>
      </c>
      <c r="Y556" t="str">
        <f t="shared" si="81"/>
        <v>A7C771</v>
      </c>
      <c r="Z556">
        <v>0</v>
      </c>
      <c r="AA556">
        <v>0</v>
      </c>
      <c r="AB556">
        <v>2</v>
      </c>
      <c r="AC556">
        <v>0</v>
      </c>
      <c r="AE556">
        <v>0</v>
      </c>
      <c r="AF556">
        <v>8</v>
      </c>
      <c r="AG556">
        <v>3</v>
      </c>
      <c r="AH556">
        <v>0</v>
      </c>
      <c r="AI556">
        <v>9</v>
      </c>
      <c r="AJ556" t="s">
        <v>125</v>
      </c>
      <c r="AK556">
        <v>0</v>
      </c>
      <c r="AL556">
        <v>3</v>
      </c>
      <c r="AM556">
        <v>2</v>
      </c>
      <c r="AN556">
        <v>1</v>
      </c>
      <c r="AO556" t="s">
        <v>1129</v>
      </c>
      <c r="AP556">
        <v>43.124084000000003</v>
      </c>
      <c r="AQ556" t="s">
        <v>1131</v>
      </c>
      <c r="AR556">
        <v>-77.634822999999997</v>
      </c>
      <c r="AS556">
        <v>25</v>
      </c>
      <c r="AT556">
        <v>525</v>
      </c>
      <c r="AU556" t="s">
        <v>123</v>
      </c>
      <c r="AV556">
        <v>-114</v>
      </c>
      <c r="AW556">
        <v>-4</v>
      </c>
      <c r="AX556">
        <v>-768</v>
      </c>
      <c r="AZ556">
        <f t="shared" si="86"/>
        <v>12996</v>
      </c>
      <c r="BA556">
        <f t="shared" si="87"/>
        <v>16</v>
      </c>
      <c r="BB556" s="1">
        <f t="shared" si="88"/>
        <v>114.0701538527936</v>
      </c>
      <c r="BJ556">
        <v>1404</v>
      </c>
      <c r="BK556">
        <v>1</v>
      </c>
      <c r="BL556" t="str">
        <f t="shared" si="82"/>
        <v xml:space="preserve">N600C   </v>
      </c>
      <c r="BM556">
        <v>2</v>
      </c>
      <c r="BO556">
        <v>0</v>
      </c>
      <c r="BP556">
        <v>0</v>
      </c>
      <c r="BQ556">
        <v>0</v>
      </c>
      <c r="BR556">
        <v>775</v>
      </c>
      <c r="BS556">
        <v>250</v>
      </c>
      <c r="BT556" t="s">
        <v>128</v>
      </c>
      <c r="BU556">
        <v>0</v>
      </c>
      <c r="BV556">
        <v>0</v>
      </c>
      <c r="BW556">
        <v>0</v>
      </c>
      <c r="BX556">
        <v>0</v>
      </c>
      <c r="CA556">
        <v>0</v>
      </c>
      <c r="CB556">
        <v>0</v>
      </c>
      <c r="CC556">
        <v>0</v>
      </c>
      <c r="CM556" t="str">
        <f>"17:50:12.081"</f>
        <v>17:50:12.081</v>
      </c>
      <c r="CN556">
        <v>80957655</v>
      </c>
      <c r="CQ556">
        <v>0</v>
      </c>
      <c r="CR556">
        <v>2016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3</v>
      </c>
      <c r="DB556">
        <v>2</v>
      </c>
      <c r="DC556">
        <v>0</v>
      </c>
      <c r="DD556">
        <v>2</v>
      </c>
      <c r="DE556">
        <v>0</v>
      </c>
      <c r="DF556">
        <v>5</v>
      </c>
      <c r="DG556">
        <v>7</v>
      </c>
      <c r="DH556" t="s">
        <v>124</v>
      </c>
      <c r="DI556">
        <v>407</v>
      </c>
      <c r="DJ556">
        <v>3</v>
      </c>
      <c r="DK556" t="s">
        <v>132</v>
      </c>
      <c r="DL556" t="s">
        <v>133</v>
      </c>
      <c r="DO556">
        <v>1833639</v>
      </c>
      <c r="DQ556">
        <v>0</v>
      </c>
      <c r="DR556">
        <v>0</v>
      </c>
      <c r="DS556">
        <v>1</v>
      </c>
      <c r="DT556">
        <v>0</v>
      </c>
      <c r="DU556">
        <v>0</v>
      </c>
      <c r="DV556">
        <v>1</v>
      </c>
      <c r="DW556">
        <v>0</v>
      </c>
      <c r="DX556">
        <v>0</v>
      </c>
      <c r="DY556">
        <v>0</v>
      </c>
      <c r="DZ556">
        <v>0</v>
      </c>
      <c r="EA556">
        <v>0</v>
      </c>
    </row>
    <row r="557" spans="1:131" x14ac:dyDescent="0.35">
      <c r="A557" s="2" t="str">
        <f>"17:50:13.586"</f>
        <v>17:50:13.586</v>
      </c>
      <c r="B557" s="4">
        <f t="shared" si="89"/>
        <v>64213.58600000001</v>
      </c>
      <c r="C557" s="4">
        <f t="shared" si="83"/>
        <v>613.58600000001024</v>
      </c>
      <c r="D557" s="3">
        <f t="shared" si="84"/>
        <v>0.74321280092592601</v>
      </c>
      <c r="E557" s="2">
        <f t="shared" si="85"/>
        <v>0.74321280092592601</v>
      </c>
      <c r="G557" t="str">
        <f t="shared" si="80"/>
        <v>FFDFD7C0</v>
      </c>
      <c r="H557" t="s">
        <v>126</v>
      </c>
      <c r="I557">
        <v>8</v>
      </c>
      <c r="J557">
        <v>1008</v>
      </c>
      <c r="K557" t="s">
        <v>129</v>
      </c>
      <c r="N557" t="s">
        <v>127</v>
      </c>
      <c r="O557">
        <v>0</v>
      </c>
      <c r="P557">
        <v>3</v>
      </c>
      <c r="Q557">
        <v>0</v>
      </c>
      <c r="R557">
        <v>2</v>
      </c>
      <c r="S557">
        <v>1</v>
      </c>
      <c r="T557">
        <v>0</v>
      </c>
      <c r="U557">
        <v>0</v>
      </c>
      <c r="W557" t="str">
        <f>"17:50:13.242"</f>
        <v>17:50:13.242</v>
      </c>
      <c r="X557" t="str">
        <f>"17:50:13.042"</f>
        <v>17:50:13.042</v>
      </c>
      <c r="Y557" t="str">
        <f t="shared" si="81"/>
        <v>A7C771</v>
      </c>
      <c r="Z557">
        <v>0</v>
      </c>
      <c r="AA557">
        <v>0</v>
      </c>
      <c r="AB557">
        <v>2</v>
      </c>
      <c r="AC557">
        <v>0</v>
      </c>
      <c r="AE557">
        <v>0</v>
      </c>
      <c r="AF557">
        <v>8</v>
      </c>
      <c r="AG557">
        <v>3</v>
      </c>
      <c r="AH557">
        <v>0</v>
      </c>
      <c r="AI557">
        <v>9</v>
      </c>
      <c r="AJ557" t="s">
        <v>125</v>
      </c>
      <c r="AK557">
        <v>0</v>
      </c>
      <c r="AL557">
        <v>3</v>
      </c>
      <c r="AM557">
        <v>2</v>
      </c>
      <c r="AN557">
        <v>1</v>
      </c>
      <c r="AO557" t="s">
        <v>1075</v>
      </c>
      <c r="AP557">
        <v>43.124042000000003</v>
      </c>
      <c r="AQ557" t="s">
        <v>1132</v>
      </c>
      <c r="AR557">
        <v>-77.635682000000003</v>
      </c>
      <c r="AS557">
        <v>25</v>
      </c>
      <c r="AT557">
        <v>500</v>
      </c>
      <c r="AU557" t="s">
        <v>123</v>
      </c>
      <c r="AV557">
        <v>-114</v>
      </c>
      <c r="AW557">
        <v>-4</v>
      </c>
      <c r="AX557">
        <v>-640</v>
      </c>
      <c r="AZ557">
        <f t="shared" si="86"/>
        <v>12996</v>
      </c>
      <c r="BA557">
        <f t="shared" si="87"/>
        <v>16</v>
      </c>
      <c r="BB557" s="1">
        <f t="shared" si="88"/>
        <v>114.0701538527936</v>
      </c>
      <c r="BJ557">
        <v>1404</v>
      </c>
      <c r="BK557">
        <v>1</v>
      </c>
      <c r="BL557" t="str">
        <f t="shared" si="82"/>
        <v xml:space="preserve">N600C   </v>
      </c>
      <c r="BM557">
        <v>2</v>
      </c>
      <c r="BO557">
        <v>0</v>
      </c>
      <c r="BP557">
        <v>0</v>
      </c>
      <c r="BQ557">
        <v>0</v>
      </c>
      <c r="BR557">
        <v>750</v>
      </c>
      <c r="BS557">
        <v>250</v>
      </c>
      <c r="BT557" t="s">
        <v>128</v>
      </c>
      <c r="BU557">
        <v>0</v>
      </c>
      <c r="BV557">
        <v>0</v>
      </c>
      <c r="BW557">
        <v>0</v>
      </c>
      <c r="BX557">
        <v>0</v>
      </c>
      <c r="CA557">
        <v>0</v>
      </c>
      <c r="CB557">
        <v>0</v>
      </c>
      <c r="CC557">
        <v>0</v>
      </c>
      <c r="CM557" t="str">
        <f>"17:50:13.249"</f>
        <v>17:50:13.249</v>
      </c>
      <c r="CN557">
        <v>249176153</v>
      </c>
      <c r="CQ557">
        <v>0</v>
      </c>
      <c r="CR557">
        <v>2016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3</v>
      </c>
      <c r="DB557">
        <v>2</v>
      </c>
      <c r="DC557">
        <v>0</v>
      </c>
      <c r="DD557">
        <v>2</v>
      </c>
      <c r="DE557">
        <v>0</v>
      </c>
      <c r="DF557">
        <v>5</v>
      </c>
      <c r="DG557">
        <v>7</v>
      </c>
      <c r="DH557" t="s">
        <v>124</v>
      </c>
      <c r="DI557">
        <v>407</v>
      </c>
      <c r="DJ557">
        <v>3</v>
      </c>
      <c r="DK557" t="s">
        <v>132</v>
      </c>
      <c r="DL557" t="s">
        <v>133</v>
      </c>
      <c r="DO557">
        <v>1835015</v>
      </c>
      <c r="DQ557">
        <v>0</v>
      </c>
      <c r="DR557">
        <v>0</v>
      </c>
      <c r="DS557">
        <v>1</v>
      </c>
      <c r="DT557">
        <v>0</v>
      </c>
      <c r="DU557">
        <v>0</v>
      </c>
      <c r="DV557">
        <v>1</v>
      </c>
      <c r="DW557">
        <v>0</v>
      </c>
      <c r="DX557">
        <v>0</v>
      </c>
      <c r="DY557">
        <v>0</v>
      </c>
      <c r="DZ557">
        <v>0</v>
      </c>
      <c r="EA557">
        <v>0</v>
      </c>
    </row>
    <row r="558" spans="1:131" x14ac:dyDescent="0.35">
      <c r="A558" s="2" t="str">
        <f>"17:50:14.601"</f>
        <v>17:50:14.601</v>
      </c>
      <c r="B558" s="4">
        <f t="shared" si="89"/>
        <v>64214.600999999995</v>
      </c>
      <c r="C558" s="4">
        <f t="shared" si="83"/>
        <v>614.60099999999511</v>
      </c>
      <c r="D558" s="3">
        <f t="shared" si="84"/>
        <v>0.74322454861111109</v>
      </c>
      <c r="E558" s="2">
        <f t="shared" si="85"/>
        <v>0.74322454861111109</v>
      </c>
      <c r="G558" t="str">
        <f t="shared" si="80"/>
        <v>FFDFD7C0</v>
      </c>
      <c r="H558" t="s">
        <v>126</v>
      </c>
      <c r="I558">
        <v>8</v>
      </c>
      <c r="J558">
        <v>1008</v>
      </c>
      <c r="K558" t="s">
        <v>129</v>
      </c>
      <c r="N558" t="s">
        <v>127</v>
      </c>
      <c r="O558">
        <v>0</v>
      </c>
      <c r="P558">
        <v>3</v>
      </c>
      <c r="Q558">
        <v>0</v>
      </c>
      <c r="R558">
        <v>2</v>
      </c>
      <c r="S558">
        <v>1</v>
      </c>
      <c r="T558">
        <v>0</v>
      </c>
      <c r="U558">
        <v>0</v>
      </c>
      <c r="W558" t="str">
        <f>"17:50:14.258"</f>
        <v>17:50:14.258</v>
      </c>
      <c r="X558" t="str">
        <f>"17:50:13.958"</f>
        <v>17:50:13.958</v>
      </c>
      <c r="Y558" t="str">
        <f t="shared" si="81"/>
        <v>A7C771</v>
      </c>
      <c r="Z558">
        <v>0</v>
      </c>
      <c r="AA558">
        <v>0</v>
      </c>
      <c r="AB558">
        <v>2</v>
      </c>
      <c r="AC558">
        <v>0</v>
      </c>
      <c r="AE558">
        <v>0</v>
      </c>
      <c r="AF558">
        <v>8</v>
      </c>
      <c r="AG558">
        <v>3</v>
      </c>
      <c r="AH558">
        <v>0</v>
      </c>
      <c r="AI558">
        <v>9</v>
      </c>
      <c r="AJ558" t="s">
        <v>125</v>
      </c>
      <c r="AK558">
        <v>0</v>
      </c>
      <c r="AL558">
        <v>3</v>
      </c>
      <c r="AM558">
        <v>2</v>
      </c>
      <c r="AN558">
        <v>1</v>
      </c>
      <c r="AO558" t="s">
        <v>1075</v>
      </c>
      <c r="AP558">
        <v>43.124042000000003</v>
      </c>
      <c r="AQ558" t="s">
        <v>1133</v>
      </c>
      <c r="AR558">
        <v>-77.636390000000006</v>
      </c>
      <c r="AS558">
        <v>25</v>
      </c>
      <c r="AT558">
        <v>500</v>
      </c>
      <c r="AU558" t="s">
        <v>123</v>
      </c>
      <c r="AV558">
        <v>-114</v>
      </c>
      <c r="AW558">
        <v>-5</v>
      </c>
      <c r="AX558">
        <v>-640</v>
      </c>
      <c r="AZ558">
        <f t="shared" si="86"/>
        <v>12996</v>
      </c>
      <c r="BA558">
        <f t="shared" si="87"/>
        <v>25</v>
      </c>
      <c r="BB558" s="1">
        <f t="shared" si="88"/>
        <v>114.10959644131601</v>
      </c>
      <c r="BJ558">
        <v>1404</v>
      </c>
      <c r="BK558">
        <v>1</v>
      </c>
      <c r="BL558" t="str">
        <f t="shared" si="82"/>
        <v xml:space="preserve">N600C   </v>
      </c>
      <c r="BM558">
        <v>2</v>
      </c>
      <c r="BO558">
        <v>0</v>
      </c>
      <c r="BP558">
        <v>0</v>
      </c>
      <c r="BQ558">
        <v>0</v>
      </c>
      <c r="BR558">
        <v>750</v>
      </c>
      <c r="BS558">
        <v>250</v>
      </c>
      <c r="BT558" t="s">
        <v>128</v>
      </c>
      <c r="BU558">
        <v>0</v>
      </c>
      <c r="BV558">
        <v>0</v>
      </c>
      <c r="BW558">
        <v>0</v>
      </c>
      <c r="BX558">
        <v>0</v>
      </c>
      <c r="CA558">
        <v>0</v>
      </c>
      <c r="CB558">
        <v>0</v>
      </c>
      <c r="CC558">
        <v>0</v>
      </c>
      <c r="CM558" t="str">
        <f>"17:50:14.265"</f>
        <v>17:50:14.265</v>
      </c>
      <c r="CN558">
        <v>265333337</v>
      </c>
      <c r="CQ558">
        <v>0</v>
      </c>
      <c r="CR558">
        <v>2016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3</v>
      </c>
      <c r="DB558">
        <v>2</v>
      </c>
      <c r="DC558">
        <v>0</v>
      </c>
      <c r="DD558">
        <v>2</v>
      </c>
      <c r="DE558">
        <v>0</v>
      </c>
      <c r="DF558">
        <v>4</v>
      </c>
      <c r="DG558">
        <v>7</v>
      </c>
      <c r="DH558" t="s">
        <v>124</v>
      </c>
      <c r="DI558">
        <v>71</v>
      </c>
      <c r="DJ558">
        <v>0</v>
      </c>
      <c r="DK558" t="s">
        <v>134</v>
      </c>
      <c r="DL558" t="s">
        <v>135</v>
      </c>
      <c r="DO558">
        <v>10348013</v>
      </c>
      <c r="DQ558">
        <v>0</v>
      </c>
      <c r="DR558">
        <v>0</v>
      </c>
      <c r="DS558">
        <v>1</v>
      </c>
      <c r="DT558">
        <v>0</v>
      </c>
      <c r="DU558">
        <v>0</v>
      </c>
      <c r="DV558">
        <v>1</v>
      </c>
      <c r="DW558">
        <v>0</v>
      </c>
      <c r="DX558">
        <v>0</v>
      </c>
      <c r="DY558">
        <v>0</v>
      </c>
      <c r="DZ558">
        <v>0</v>
      </c>
      <c r="EA558">
        <v>0</v>
      </c>
    </row>
    <row r="559" spans="1:131" x14ac:dyDescent="0.35">
      <c r="A559" s="2" t="str">
        <f>"17:50:15.664"</f>
        <v>17:50:15.664</v>
      </c>
      <c r="B559" s="4">
        <f t="shared" si="89"/>
        <v>64215.663999999997</v>
      </c>
      <c r="C559" s="4">
        <f t="shared" si="83"/>
        <v>615.66399999999703</v>
      </c>
      <c r="D559" s="3">
        <f t="shared" si="84"/>
        <v>0.74323685185185184</v>
      </c>
      <c r="E559" s="2">
        <f t="shared" si="85"/>
        <v>0.74323685185185184</v>
      </c>
      <c r="G559" t="str">
        <f t="shared" si="80"/>
        <v>FFDFD7C0</v>
      </c>
      <c r="H559" t="s">
        <v>126</v>
      </c>
      <c r="I559">
        <v>8</v>
      </c>
      <c r="J559">
        <v>1008</v>
      </c>
      <c r="K559" t="s">
        <v>129</v>
      </c>
      <c r="N559" t="s">
        <v>127</v>
      </c>
      <c r="O559">
        <v>0</v>
      </c>
      <c r="P559">
        <v>3</v>
      </c>
      <c r="Q559">
        <v>0</v>
      </c>
      <c r="R559">
        <v>2</v>
      </c>
      <c r="S559">
        <v>1</v>
      </c>
      <c r="T559">
        <v>0</v>
      </c>
      <c r="U559">
        <v>0</v>
      </c>
      <c r="W559" t="str">
        <f>"17:50:15.195"</f>
        <v>17:50:15.195</v>
      </c>
      <c r="X559" t="str">
        <f>"17:50:15.095"</f>
        <v>17:50:15.095</v>
      </c>
      <c r="Y559" t="str">
        <f t="shared" si="81"/>
        <v>A7C771</v>
      </c>
      <c r="Z559">
        <v>0</v>
      </c>
      <c r="AA559">
        <v>0</v>
      </c>
      <c r="AB559">
        <v>2</v>
      </c>
      <c r="AC559">
        <v>0</v>
      </c>
      <c r="AE559">
        <v>0</v>
      </c>
      <c r="AF559">
        <v>8</v>
      </c>
      <c r="AG559">
        <v>3</v>
      </c>
      <c r="AH559">
        <v>0</v>
      </c>
      <c r="AI559">
        <v>9</v>
      </c>
      <c r="AJ559" t="s">
        <v>125</v>
      </c>
      <c r="AK559">
        <v>0</v>
      </c>
      <c r="AL559">
        <v>3</v>
      </c>
      <c r="AM559">
        <v>2</v>
      </c>
      <c r="AN559">
        <v>1</v>
      </c>
      <c r="AO559" t="s">
        <v>1134</v>
      </c>
      <c r="AP559">
        <v>43.123998999999998</v>
      </c>
      <c r="AQ559" t="s">
        <v>1135</v>
      </c>
      <c r="AR559">
        <v>-77.637055000000004</v>
      </c>
      <c r="AS559">
        <v>25</v>
      </c>
      <c r="AT559">
        <v>475</v>
      </c>
      <c r="AU559" t="s">
        <v>123</v>
      </c>
      <c r="AV559">
        <v>-114</v>
      </c>
      <c r="AW559">
        <v>-5</v>
      </c>
      <c r="AX559">
        <v>-640</v>
      </c>
      <c r="AZ559">
        <f t="shared" si="86"/>
        <v>12996</v>
      </c>
      <c r="BA559">
        <f t="shared" si="87"/>
        <v>25</v>
      </c>
      <c r="BB559" s="1">
        <f t="shared" si="88"/>
        <v>114.10959644131601</v>
      </c>
      <c r="BJ559">
        <v>1404</v>
      </c>
      <c r="BK559">
        <v>1</v>
      </c>
      <c r="BL559" t="str">
        <f t="shared" si="82"/>
        <v xml:space="preserve">N600C   </v>
      </c>
      <c r="BM559">
        <v>2</v>
      </c>
      <c r="BO559">
        <v>0</v>
      </c>
      <c r="BP559">
        <v>0</v>
      </c>
      <c r="BQ559">
        <v>0</v>
      </c>
      <c r="BR559">
        <v>750</v>
      </c>
      <c r="BS559">
        <v>275</v>
      </c>
      <c r="BT559" t="s">
        <v>128</v>
      </c>
      <c r="BU559">
        <v>0</v>
      </c>
      <c r="BV559">
        <v>0</v>
      </c>
      <c r="BW559">
        <v>0</v>
      </c>
      <c r="BX559">
        <v>0</v>
      </c>
      <c r="CA559">
        <v>0</v>
      </c>
      <c r="CB559">
        <v>0</v>
      </c>
      <c r="CC559">
        <v>0</v>
      </c>
      <c r="CM559" t="str">
        <f>"17:50:15.202"</f>
        <v>17:50:15.202</v>
      </c>
      <c r="CN559">
        <v>201532486</v>
      </c>
      <c r="CQ559">
        <v>0</v>
      </c>
      <c r="CR559">
        <v>2016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3</v>
      </c>
      <c r="DB559">
        <v>2</v>
      </c>
      <c r="DC559">
        <v>0</v>
      </c>
      <c r="DD559">
        <v>2</v>
      </c>
      <c r="DE559">
        <v>0</v>
      </c>
      <c r="DF559">
        <v>5</v>
      </c>
      <c r="DG559">
        <v>7</v>
      </c>
      <c r="DH559" t="s">
        <v>124</v>
      </c>
      <c r="DI559">
        <v>407</v>
      </c>
      <c r="DJ559">
        <v>3</v>
      </c>
      <c r="DK559" t="s">
        <v>132</v>
      </c>
      <c r="DL559" t="s">
        <v>133</v>
      </c>
      <c r="DO559">
        <v>1836862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1</v>
      </c>
      <c r="DW559">
        <v>0</v>
      </c>
      <c r="DX559">
        <v>0</v>
      </c>
      <c r="DY559">
        <v>0</v>
      </c>
      <c r="DZ559">
        <v>0</v>
      </c>
      <c r="EA559">
        <v>0</v>
      </c>
    </row>
    <row r="560" spans="1:131" x14ac:dyDescent="0.35">
      <c r="A560" s="2" t="str">
        <f>"17:50:16.571"</f>
        <v>17:50:16.571</v>
      </c>
      <c r="B560" s="4">
        <f t="shared" si="89"/>
        <v>64216.571000000004</v>
      </c>
      <c r="C560" s="4">
        <f t="shared" si="83"/>
        <v>616.57100000000355</v>
      </c>
      <c r="D560" s="3">
        <f t="shared" si="84"/>
        <v>0.74324734953703708</v>
      </c>
      <c r="E560" s="2">
        <f t="shared" si="85"/>
        <v>0.74324734953703708</v>
      </c>
      <c r="G560" t="str">
        <f t="shared" si="80"/>
        <v>FFDFD7C0</v>
      </c>
      <c r="H560" t="s">
        <v>126</v>
      </c>
      <c r="I560">
        <v>8</v>
      </c>
      <c r="J560">
        <v>1008</v>
      </c>
      <c r="K560" t="s">
        <v>129</v>
      </c>
      <c r="N560" t="s">
        <v>127</v>
      </c>
      <c r="O560">
        <v>0</v>
      </c>
      <c r="P560">
        <v>3</v>
      </c>
      <c r="Q560">
        <v>0</v>
      </c>
      <c r="R560">
        <v>2</v>
      </c>
      <c r="S560">
        <v>1</v>
      </c>
      <c r="T560">
        <v>0</v>
      </c>
      <c r="U560">
        <v>0</v>
      </c>
      <c r="W560" t="str">
        <f>"17:50:16.195"</f>
        <v>17:50:16.195</v>
      </c>
      <c r="X560" t="str">
        <f>"17:50:16.195"</f>
        <v>17:50:16.195</v>
      </c>
      <c r="Y560" t="str">
        <f t="shared" si="81"/>
        <v>A7C771</v>
      </c>
      <c r="Z560">
        <v>0</v>
      </c>
      <c r="AA560">
        <v>0</v>
      </c>
      <c r="AB560">
        <v>2</v>
      </c>
      <c r="AC560">
        <v>0</v>
      </c>
      <c r="AE560">
        <v>0</v>
      </c>
      <c r="AF560">
        <v>8</v>
      </c>
      <c r="AG560">
        <v>3</v>
      </c>
      <c r="AH560">
        <v>0</v>
      </c>
      <c r="AI560">
        <v>9</v>
      </c>
      <c r="AJ560" t="s">
        <v>125</v>
      </c>
      <c r="AK560">
        <v>0</v>
      </c>
      <c r="AL560">
        <v>3</v>
      </c>
      <c r="AM560">
        <v>2</v>
      </c>
      <c r="AN560">
        <v>1</v>
      </c>
      <c r="AO560" t="s">
        <v>1134</v>
      </c>
      <c r="AP560">
        <v>43.123998999999998</v>
      </c>
      <c r="AQ560" t="s">
        <v>1136</v>
      </c>
      <c r="AR560">
        <v>-77.637827000000001</v>
      </c>
      <c r="AS560">
        <v>25</v>
      </c>
      <c r="AT560">
        <v>475</v>
      </c>
      <c r="AU560" t="s">
        <v>123</v>
      </c>
      <c r="AV560">
        <v>-114</v>
      </c>
      <c r="AW560">
        <v>-6</v>
      </c>
      <c r="AX560">
        <v>-704</v>
      </c>
      <c r="AZ560">
        <f t="shared" si="86"/>
        <v>12996</v>
      </c>
      <c r="BA560">
        <f t="shared" si="87"/>
        <v>36</v>
      </c>
      <c r="BB560" s="1">
        <f t="shared" si="88"/>
        <v>114.15778554264269</v>
      </c>
      <c r="BJ560">
        <v>1404</v>
      </c>
      <c r="BK560">
        <v>1</v>
      </c>
      <c r="BL560" t="str">
        <f t="shared" si="82"/>
        <v xml:space="preserve">N600C   </v>
      </c>
      <c r="BM560">
        <v>2</v>
      </c>
      <c r="BO560">
        <v>0</v>
      </c>
      <c r="BP560">
        <v>0</v>
      </c>
      <c r="BQ560">
        <v>0</v>
      </c>
      <c r="BR560">
        <v>725</v>
      </c>
      <c r="BS560">
        <v>250</v>
      </c>
      <c r="BT560" t="s">
        <v>128</v>
      </c>
      <c r="BU560">
        <v>0</v>
      </c>
      <c r="BV560">
        <v>0</v>
      </c>
      <c r="BW560">
        <v>0</v>
      </c>
      <c r="BX560">
        <v>0</v>
      </c>
      <c r="CA560">
        <v>0</v>
      </c>
      <c r="CB560">
        <v>0</v>
      </c>
      <c r="CC560">
        <v>0</v>
      </c>
      <c r="CM560" t="str">
        <f>"17:50:16.202"</f>
        <v>17:50:16.202</v>
      </c>
      <c r="CN560">
        <v>201712986</v>
      </c>
      <c r="CQ560">
        <v>0</v>
      </c>
      <c r="CR560">
        <v>2016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3</v>
      </c>
      <c r="DB560">
        <v>2</v>
      </c>
      <c r="DC560">
        <v>0</v>
      </c>
      <c r="DD560">
        <v>2</v>
      </c>
      <c r="DE560">
        <v>0</v>
      </c>
      <c r="DF560">
        <v>5</v>
      </c>
      <c r="DG560">
        <v>7</v>
      </c>
      <c r="DH560" t="s">
        <v>124</v>
      </c>
      <c r="DI560">
        <v>407</v>
      </c>
      <c r="DJ560">
        <v>3</v>
      </c>
      <c r="DK560" t="s">
        <v>132</v>
      </c>
      <c r="DL560" t="s">
        <v>133</v>
      </c>
      <c r="DO560">
        <v>1837800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1</v>
      </c>
      <c r="DW560">
        <v>0</v>
      </c>
      <c r="DX560">
        <v>0</v>
      </c>
      <c r="DY560">
        <v>0</v>
      </c>
      <c r="DZ560">
        <v>0</v>
      </c>
      <c r="EA560">
        <v>0</v>
      </c>
    </row>
    <row r="561" spans="1:131" x14ac:dyDescent="0.35">
      <c r="A561" s="2" t="str">
        <f>"17:50:17.540"</f>
        <v>17:50:17.540</v>
      </c>
      <c r="B561" s="4">
        <f t="shared" si="89"/>
        <v>64217.539999999994</v>
      </c>
      <c r="C561" s="4">
        <f t="shared" si="83"/>
        <v>617.5399999999936</v>
      </c>
      <c r="D561" s="3">
        <f t="shared" si="84"/>
        <v>0.74325856481481478</v>
      </c>
      <c r="E561" s="2">
        <f t="shared" si="85"/>
        <v>0.74325856481481478</v>
      </c>
      <c r="G561" t="str">
        <f t="shared" si="80"/>
        <v>FFDFD7C0</v>
      </c>
      <c r="H561" t="s">
        <v>126</v>
      </c>
      <c r="I561">
        <v>8</v>
      </c>
      <c r="J561">
        <v>1008</v>
      </c>
      <c r="K561" t="s">
        <v>129</v>
      </c>
      <c r="N561" t="s">
        <v>127</v>
      </c>
      <c r="O561">
        <v>0</v>
      </c>
      <c r="P561">
        <v>3</v>
      </c>
      <c r="Q561">
        <v>0</v>
      </c>
      <c r="R561">
        <v>2</v>
      </c>
      <c r="S561">
        <v>1</v>
      </c>
      <c r="T561">
        <v>0</v>
      </c>
      <c r="U561">
        <v>0</v>
      </c>
      <c r="W561" t="str">
        <f>"17:50:17.203"</f>
        <v>17:50:17.203</v>
      </c>
      <c r="X561" t="str">
        <f>"17:50:16.703"</f>
        <v>17:50:16.703</v>
      </c>
      <c r="Y561" t="str">
        <f t="shared" si="81"/>
        <v>A7C771</v>
      </c>
      <c r="Z561">
        <v>0</v>
      </c>
      <c r="AA561">
        <v>0</v>
      </c>
      <c r="AB561">
        <v>2</v>
      </c>
      <c r="AC561">
        <v>0</v>
      </c>
      <c r="AE561">
        <v>0</v>
      </c>
      <c r="AF561">
        <v>8</v>
      </c>
      <c r="AG561">
        <v>3</v>
      </c>
      <c r="AH561">
        <v>0</v>
      </c>
      <c r="AI561">
        <v>9</v>
      </c>
      <c r="AJ561" t="s">
        <v>125</v>
      </c>
      <c r="AK561">
        <v>0</v>
      </c>
      <c r="AL561">
        <v>3</v>
      </c>
      <c r="AM561">
        <v>2</v>
      </c>
      <c r="AN561">
        <v>1</v>
      </c>
      <c r="AO561" t="s">
        <v>1073</v>
      </c>
      <c r="AP561">
        <v>43.123933999999998</v>
      </c>
      <c r="AQ561" t="s">
        <v>1137</v>
      </c>
      <c r="AR561">
        <v>-77.638557000000006</v>
      </c>
      <c r="AS561">
        <v>25</v>
      </c>
      <c r="AT561">
        <v>450</v>
      </c>
      <c r="AU561" t="s">
        <v>123</v>
      </c>
      <c r="AV561">
        <v>-114</v>
      </c>
      <c r="AW561">
        <v>-6</v>
      </c>
      <c r="AX561">
        <v>-704</v>
      </c>
      <c r="AZ561">
        <f t="shared" si="86"/>
        <v>12996</v>
      </c>
      <c r="BA561">
        <f t="shared" si="87"/>
        <v>36</v>
      </c>
      <c r="BB561" s="1">
        <f t="shared" si="88"/>
        <v>114.15778554264269</v>
      </c>
      <c r="BJ561">
        <v>1404</v>
      </c>
      <c r="BK561">
        <v>1</v>
      </c>
      <c r="BL561" t="str">
        <f t="shared" si="82"/>
        <v xml:space="preserve">N600C   </v>
      </c>
      <c r="BM561">
        <v>2</v>
      </c>
      <c r="BO561">
        <v>0</v>
      </c>
      <c r="BP561">
        <v>0</v>
      </c>
      <c r="BQ561">
        <v>0</v>
      </c>
      <c r="BR561">
        <v>725</v>
      </c>
      <c r="BS561">
        <v>275</v>
      </c>
      <c r="BT561" t="s">
        <v>128</v>
      </c>
      <c r="BU561">
        <v>0</v>
      </c>
      <c r="BV561">
        <v>0</v>
      </c>
      <c r="BW561">
        <v>0</v>
      </c>
      <c r="BX561">
        <v>0</v>
      </c>
      <c r="CA561">
        <v>0</v>
      </c>
      <c r="CB561">
        <v>0</v>
      </c>
      <c r="CC561">
        <v>0</v>
      </c>
      <c r="CM561" t="str">
        <f>"17:50:17.210"</f>
        <v>17:50:17.210</v>
      </c>
      <c r="CN561">
        <v>209907153</v>
      </c>
      <c r="CQ561">
        <v>0</v>
      </c>
      <c r="CR561">
        <v>2016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3</v>
      </c>
      <c r="DB561">
        <v>2</v>
      </c>
      <c r="DC561">
        <v>0</v>
      </c>
      <c r="DD561">
        <v>2</v>
      </c>
      <c r="DE561">
        <v>0</v>
      </c>
      <c r="DF561">
        <v>5</v>
      </c>
      <c r="DG561">
        <v>7</v>
      </c>
      <c r="DH561" t="s">
        <v>124</v>
      </c>
      <c r="DI561">
        <v>407</v>
      </c>
      <c r="DJ561">
        <v>3</v>
      </c>
      <c r="DK561" t="s">
        <v>132</v>
      </c>
      <c r="DL561" t="s">
        <v>133</v>
      </c>
      <c r="DO561">
        <v>1838985</v>
      </c>
      <c r="DQ561">
        <v>0</v>
      </c>
      <c r="DR561">
        <v>0</v>
      </c>
      <c r="DS561">
        <v>1</v>
      </c>
      <c r="DT561">
        <v>0</v>
      </c>
      <c r="DU561">
        <v>0</v>
      </c>
      <c r="DV561">
        <v>1</v>
      </c>
      <c r="DW561">
        <v>0</v>
      </c>
      <c r="DX561">
        <v>0</v>
      </c>
      <c r="DY561">
        <v>0</v>
      </c>
      <c r="DZ561">
        <v>0</v>
      </c>
      <c r="EA561">
        <v>0</v>
      </c>
    </row>
    <row r="562" spans="1:131" x14ac:dyDescent="0.35">
      <c r="A562" s="2" t="str">
        <f>"17:50:18.571"</f>
        <v>17:50:18.571</v>
      </c>
      <c r="B562" s="4">
        <f t="shared" si="89"/>
        <v>64218.571000000011</v>
      </c>
      <c r="C562" s="4">
        <f t="shared" si="83"/>
        <v>618.57100000001083</v>
      </c>
      <c r="D562" s="3">
        <f t="shared" si="84"/>
        <v>0.74327049768518527</v>
      </c>
      <c r="E562" s="2">
        <f t="shared" si="85"/>
        <v>0.74327049768518527</v>
      </c>
      <c r="G562" t="str">
        <f t="shared" si="80"/>
        <v>FFDFD7C0</v>
      </c>
      <c r="H562" t="s">
        <v>126</v>
      </c>
      <c r="I562">
        <v>8</v>
      </c>
      <c r="J562">
        <v>1008</v>
      </c>
      <c r="K562" t="s">
        <v>129</v>
      </c>
      <c r="N562" t="s">
        <v>127</v>
      </c>
      <c r="O562">
        <v>0</v>
      </c>
      <c r="P562">
        <v>3</v>
      </c>
      <c r="Q562">
        <v>0</v>
      </c>
      <c r="R562">
        <v>2</v>
      </c>
      <c r="S562">
        <v>1</v>
      </c>
      <c r="T562">
        <v>0</v>
      </c>
      <c r="U562">
        <v>0</v>
      </c>
      <c r="W562" t="str">
        <f>"17:50:18.219"</f>
        <v>17:50:18.219</v>
      </c>
      <c r="X562" t="str">
        <f>"17:50:17.919"</f>
        <v>17:50:17.919</v>
      </c>
      <c r="Y562" t="str">
        <f t="shared" si="81"/>
        <v>A7C771</v>
      </c>
      <c r="Z562">
        <v>0</v>
      </c>
      <c r="AA562">
        <v>0</v>
      </c>
      <c r="AB562">
        <v>2</v>
      </c>
      <c r="AC562">
        <v>0</v>
      </c>
      <c r="AE562">
        <v>0</v>
      </c>
      <c r="AF562">
        <v>8</v>
      </c>
      <c r="AG562">
        <v>3</v>
      </c>
      <c r="AH562">
        <v>0</v>
      </c>
      <c r="AI562">
        <v>9</v>
      </c>
      <c r="AJ562" t="s">
        <v>125</v>
      </c>
      <c r="AK562">
        <v>0</v>
      </c>
      <c r="AL562">
        <v>3</v>
      </c>
      <c r="AM562">
        <v>2</v>
      </c>
      <c r="AN562">
        <v>1</v>
      </c>
      <c r="AO562" t="s">
        <v>1073</v>
      </c>
      <c r="AP562">
        <v>43.123933999999998</v>
      </c>
      <c r="AQ562" t="s">
        <v>1138</v>
      </c>
      <c r="AR562">
        <v>-77.639264999999995</v>
      </c>
      <c r="AS562">
        <v>25</v>
      </c>
      <c r="AT562">
        <v>450</v>
      </c>
      <c r="AU562" t="s">
        <v>123</v>
      </c>
      <c r="AV562">
        <v>-114</v>
      </c>
      <c r="AW562">
        <v>-5</v>
      </c>
      <c r="AX562">
        <v>-640</v>
      </c>
      <c r="AZ562">
        <f t="shared" si="86"/>
        <v>12996</v>
      </c>
      <c r="BA562">
        <f t="shared" si="87"/>
        <v>25</v>
      </c>
      <c r="BB562" s="1">
        <f t="shared" si="88"/>
        <v>114.10959644131601</v>
      </c>
      <c r="BJ562">
        <v>1404</v>
      </c>
      <c r="BK562">
        <v>1</v>
      </c>
      <c r="BL562" t="str">
        <f t="shared" si="82"/>
        <v xml:space="preserve">N600C   </v>
      </c>
      <c r="BM562">
        <v>2</v>
      </c>
      <c r="BO562">
        <v>0</v>
      </c>
      <c r="BP562">
        <v>0</v>
      </c>
      <c r="BQ562">
        <v>0</v>
      </c>
      <c r="BR562">
        <v>700</v>
      </c>
      <c r="BS562">
        <v>250</v>
      </c>
      <c r="BT562" t="s">
        <v>128</v>
      </c>
      <c r="BU562">
        <v>0</v>
      </c>
      <c r="BV562">
        <v>0</v>
      </c>
      <c r="BW562">
        <v>0</v>
      </c>
      <c r="BX562">
        <v>0</v>
      </c>
      <c r="CA562">
        <v>0</v>
      </c>
      <c r="CB562">
        <v>0</v>
      </c>
      <c r="CC562">
        <v>0</v>
      </c>
      <c r="CM562" t="str">
        <f>"17:50:18.226"</f>
        <v>17:50:18.226</v>
      </c>
      <c r="CN562">
        <v>226073002</v>
      </c>
      <c r="CQ562">
        <v>0</v>
      </c>
      <c r="CR562">
        <v>2016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3</v>
      </c>
      <c r="DB562">
        <v>2</v>
      </c>
      <c r="DC562">
        <v>0</v>
      </c>
      <c r="DD562">
        <v>2</v>
      </c>
      <c r="DE562">
        <v>0</v>
      </c>
      <c r="DF562">
        <v>5</v>
      </c>
      <c r="DG562">
        <v>7</v>
      </c>
      <c r="DH562" t="s">
        <v>124</v>
      </c>
      <c r="DI562">
        <v>71</v>
      </c>
      <c r="DJ562">
        <v>1</v>
      </c>
      <c r="DK562" t="s">
        <v>134</v>
      </c>
      <c r="DL562" t="s">
        <v>135</v>
      </c>
      <c r="DO562">
        <v>11729838</v>
      </c>
      <c r="DQ562">
        <v>0</v>
      </c>
      <c r="DR562">
        <v>0</v>
      </c>
      <c r="DS562">
        <v>1</v>
      </c>
      <c r="DT562">
        <v>0</v>
      </c>
      <c r="DU562">
        <v>0</v>
      </c>
      <c r="DV562">
        <v>1</v>
      </c>
      <c r="DW562">
        <v>0</v>
      </c>
      <c r="DX562">
        <v>0</v>
      </c>
      <c r="DY562">
        <v>0</v>
      </c>
      <c r="DZ562">
        <v>0</v>
      </c>
      <c r="EA562">
        <v>0</v>
      </c>
    </row>
    <row r="563" spans="1:131" x14ac:dyDescent="0.35">
      <c r="A563" s="2" t="str">
        <f>"17:50:19.444"</f>
        <v>17:50:19.444</v>
      </c>
      <c r="B563" s="4">
        <f t="shared" si="89"/>
        <v>64219.444000000003</v>
      </c>
      <c r="C563" s="4">
        <f t="shared" si="83"/>
        <v>619.44400000000314</v>
      </c>
      <c r="D563" s="3">
        <f t="shared" si="84"/>
        <v>0.74328060185185185</v>
      </c>
      <c r="E563" s="2">
        <f t="shared" si="85"/>
        <v>0.74328060185185185</v>
      </c>
      <c r="G563" t="str">
        <f t="shared" si="80"/>
        <v>FFDFD7C0</v>
      </c>
      <c r="H563" t="s">
        <v>126</v>
      </c>
      <c r="I563">
        <v>8</v>
      </c>
      <c r="J563">
        <v>1008</v>
      </c>
      <c r="K563" t="s">
        <v>129</v>
      </c>
      <c r="N563" t="s">
        <v>127</v>
      </c>
      <c r="O563">
        <v>0</v>
      </c>
      <c r="P563">
        <v>3</v>
      </c>
      <c r="Q563">
        <v>0</v>
      </c>
      <c r="R563">
        <v>2</v>
      </c>
      <c r="S563">
        <v>1</v>
      </c>
      <c r="T563">
        <v>0</v>
      </c>
      <c r="U563">
        <v>0</v>
      </c>
      <c r="W563" t="str">
        <f>"17:50:19.203"</f>
        <v>17:50:19.203</v>
      </c>
      <c r="X563" t="str">
        <f>"17:50:19.003"</f>
        <v>17:50:19.003</v>
      </c>
      <c r="Y563" t="str">
        <f t="shared" si="81"/>
        <v>A7C771</v>
      </c>
      <c r="Z563">
        <v>0</v>
      </c>
      <c r="AA563">
        <v>0</v>
      </c>
      <c r="AB563">
        <v>2</v>
      </c>
      <c r="AC563">
        <v>0</v>
      </c>
      <c r="AE563">
        <v>0</v>
      </c>
      <c r="AF563">
        <v>8</v>
      </c>
      <c r="AG563">
        <v>3</v>
      </c>
      <c r="AH563">
        <v>0</v>
      </c>
      <c r="AI563">
        <v>9</v>
      </c>
      <c r="AJ563" t="s">
        <v>125</v>
      </c>
      <c r="AK563">
        <v>0</v>
      </c>
      <c r="AL563">
        <v>3</v>
      </c>
      <c r="AM563">
        <v>2</v>
      </c>
      <c r="AN563">
        <v>1</v>
      </c>
      <c r="AO563" t="s">
        <v>1139</v>
      </c>
      <c r="AP563">
        <v>43.123891</v>
      </c>
      <c r="AQ563" t="s">
        <v>1140</v>
      </c>
      <c r="AR563">
        <v>-77.639930000000007</v>
      </c>
      <c r="AS563">
        <v>25</v>
      </c>
      <c r="AT563">
        <v>425</v>
      </c>
      <c r="AU563" t="s">
        <v>123</v>
      </c>
      <c r="AV563">
        <v>-114</v>
      </c>
      <c r="AW563">
        <v>-5</v>
      </c>
      <c r="AX563">
        <v>-640</v>
      </c>
      <c r="AZ563">
        <f t="shared" si="86"/>
        <v>12996</v>
      </c>
      <c r="BA563">
        <f t="shared" si="87"/>
        <v>25</v>
      </c>
      <c r="BB563" s="1">
        <f t="shared" si="88"/>
        <v>114.10959644131601</v>
      </c>
      <c r="BJ563">
        <v>1404</v>
      </c>
      <c r="BK563">
        <v>1</v>
      </c>
      <c r="BL563" t="str">
        <f t="shared" si="82"/>
        <v xml:space="preserve">N600C   </v>
      </c>
      <c r="BM563">
        <v>2</v>
      </c>
      <c r="BO563">
        <v>0</v>
      </c>
      <c r="BP563">
        <v>0</v>
      </c>
      <c r="BQ563">
        <v>0</v>
      </c>
      <c r="BR563">
        <v>700</v>
      </c>
      <c r="BS563">
        <v>275</v>
      </c>
      <c r="BT563" t="s">
        <v>128</v>
      </c>
      <c r="BU563">
        <v>0</v>
      </c>
      <c r="BV563">
        <v>0</v>
      </c>
      <c r="BW563">
        <v>0</v>
      </c>
      <c r="BX563">
        <v>0</v>
      </c>
      <c r="CA563">
        <v>0</v>
      </c>
      <c r="CB563">
        <v>0</v>
      </c>
      <c r="CC563">
        <v>0</v>
      </c>
      <c r="CM563" t="str">
        <f>"17:50:19.210"</f>
        <v>17:50:19.210</v>
      </c>
      <c r="CN563">
        <v>210273734</v>
      </c>
      <c r="CQ563">
        <v>0</v>
      </c>
      <c r="CR563">
        <v>2016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3</v>
      </c>
      <c r="DB563">
        <v>2</v>
      </c>
      <c r="DC563">
        <v>0</v>
      </c>
      <c r="DD563">
        <v>2</v>
      </c>
      <c r="DE563">
        <v>0</v>
      </c>
      <c r="DF563">
        <v>5</v>
      </c>
      <c r="DG563">
        <v>7</v>
      </c>
      <c r="DH563" t="s">
        <v>124</v>
      </c>
      <c r="DI563">
        <v>71</v>
      </c>
      <c r="DJ563">
        <v>0</v>
      </c>
      <c r="DK563" t="s">
        <v>134</v>
      </c>
      <c r="DL563" t="s">
        <v>135</v>
      </c>
      <c r="DO563">
        <v>10351420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1</v>
      </c>
      <c r="DW563">
        <v>0</v>
      </c>
      <c r="DX563">
        <v>0</v>
      </c>
      <c r="DY563">
        <v>0</v>
      </c>
      <c r="DZ563">
        <v>0</v>
      </c>
      <c r="EA563">
        <v>0</v>
      </c>
    </row>
    <row r="564" spans="1:131" x14ac:dyDescent="0.35">
      <c r="A564" s="2" t="str">
        <f>"17:50:20.523"</f>
        <v>17:50:20.523</v>
      </c>
      <c r="B564" s="4">
        <f t="shared" si="89"/>
        <v>64220.523000000001</v>
      </c>
      <c r="C564" s="4">
        <f t="shared" si="83"/>
        <v>620.52300000000105</v>
      </c>
      <c r="D564" s="3">
        <f t="shared" si="84"/>
        <v>0.74329309027777779</v>
      </c>
      <c r="E564" s="2">
        <f t="shared" si="85"/>
        <v>0.74329309027777779</v>
      </c>
      <c r="G564" t="str">
        <f t="shared" si="80"/>
        <v>FFDFD7C0</v>
      </c>
      <c r="H564" t="s">
        <v>126</v>
      </c>
      <c r="I564">
        <v>8</v>
      </c>
      <c r="J564">
        <v>1008</v>
      </c>
      <c r="K564" t="s">
        <v>129</v>
      </c>
      <c r="N564" t="s">
        <v>127</v>
      </c>
      <c r="O564">
        <v>0</v>
      </c>
      <c r="P564">
        <v>3</v>
      </c>
      <c r="Q564">
        <v>0</v>
      </c>
      <c r="R564">
        <v>2</v>
      </c>
      <c r="S564">
        <v>1</v>
      </c>
      <c r="T564">
        <v>0</v>
      </c>
      <c r="U564">
        <v>0</v>
      </c>
      <c r="W564" t="str">
        <f>"17:50:20.219"</f>
        <v>17:50:20.219</v>
      </c>
      <c r="X564" t="str">
        <f>"17:50:20.019"</f>
        <v>17:50:20.019</v>
      </c>
      <c r="Y564" t="str">
        <f t="shared" si="81"/>
        <v>A7C771</v>
      </c>
      <c r="Z564">
        <v>0</v>
      </c>
      <c r="AA564">
        <v>0</v>
      </c>
      <c r="AB564">
        <v>2</v>
      </c>
      <c r="AC564">
        <v>0</v>
      </c>
      <c r="AE564">
        <v>0</v>
      </c>
      <c r="AF564">
        <v>8</v>
      </c>
      <c r="AG564">
        <v>3</v>
      </c>
      <c r="AH564">
        <v>0</v>
      </c>
      <c r="AI564">
        <v>9</v>
      </c>
      <c r="AJ564" t="s">
        <v>125</v>
      </c>
      <c r="AK564">
        <v>0</v>
      </c>
      <c r="AL564">
        <v>3</v>
      </c>
      <c r="AM564">
        <v>2</v>
      </c>
      <c r="AN564">
        <v>1</v>
      </c>
      <c r="AO564" t="s">
        <v>1139</v>
      </c>
      <c r="AP564">
        <v>43.123891</v>
      </c>
      <c r="AQ564" t="s">
        <v>1141</v>
      </c>
      <c r="AR564">
        <v>-77.640703000000002</v>
      </c>
      <c r="AS564">
        <v>25</v>
      </c>
      <c r="AT564">
        <v>425</v>
      </c>
      <c r="AU564" t="s">
        <v>123</v>
      </c>
      <c r="AV564">
        <v>-114</v>
      </c>
      <c r="AW564">
        <v>-4</v>
      </c>
      <c r="AX564">
        <v>-640</v>
      </c>
      <c r="AZ564">
        <f t="shared" si="86"/>
        <v>12996</v>
      </c>
      <c r="BA564">
        <f t="shared" si="87"/>
        <v>16</v>
      </c>
      <c r="BB564" s="1">
        <f t="shared" si="88"/>
        <v>114.0701538527936</v>
      </c>
      <c r="BJ564">
        <v>1404</v>
      </c>
      <c r="BK564">
        <v>1</v>
      </c>
      <c r="BL564" t="str">
        <f t="shared" si="82"/>
        <v xml:space="preserve">N600C   </v>
      </c>
      <c r="BM564">
        <v>2</v>
      </c>
      <c r="BO564">
        <v>0</v>
      </c>
      <c r="BP564">
        <v>0</v>
      </c>
      <c r="BQ564">
        <v>0</v>
      </c>
      <c r="BR564">
        <v>675</v>
      </c>
      <c r="BS564">
        <v>250</v>
      </c>
      <c r="BT564" t="s">
        <v>128</v>
      </c>
      <c r="BU564">
        <v>0</v>
      </c>
      <c r="BV564">
        <v>0</v>
      </c>
      <c r="BW564">
        <v>0</v>
      </c>
      <c r="BX564">
        <v>0</v>
      </c>
      <c r="CA564">
        <v>0</v>
      </c>
      <c r="CB564">
        <v>0</v>
      </c>
      <c r="CC564">
        <v>0</v>
      </c>
      <c r="CM564" t="str">
        <f>"17:50:20.226"</f>
        <v>17:50:20.226</v>
      </c>
      <c r="CN564">
        <v>226449601</v>
      </c>
      <c r="CQ564">
        <v>0</v>
      </c>
      <c r="CR564">
        <v>2016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3</v>
      </c>
      <c r="DB564">
        <v>2</v>
      </c>
      <c r="DC564">
        <v>0</v>
      </c>
      <c r="DD564">
        <v>2</v>
      </c>
      <c r="DE564">
        <v>0</v>
      </c>
      <c r="DF564">
        <v>5</v>
      </c>
      <c r="DG564">
        <v>7</v>
      </c>
      <c r="DH564" t="s">
        <v>124</v>
      </c>
      <c r="DI564">
        <v>71</v>
      </c>
      <c r="DJ564">
        <v>1</v>
      </c>
      <c r="DK564" t="s">
        <v>134</v>
      </c>
      <c r="DL564" t="s">
        <v>135</v>
      </c>
      <c r="DO564">
        <v>11731259</v>
      </c>
      <c r="DQ564">
        <v>0</v>
      </c>
      <c r="DR564">
        <v>0</v>
      </c>
      <c r="DS564">
        <v>1</v>
      </c>
      <c r="DT564">
        <v>0</v>
      </c>
      <c r="DU564">
        <v>0</v>
      </c>
      <c r="DV564">
        <v>1</v>
      </c>
      <c r="DW564">
        <v>0</v>
      </c>
      <c r="DX564">
        <v>0</v>
      </c>
      <c r="DY564">
        <v>0</v>
      </c>
      <c r="DZ564">
        <v>0</v>
      </c>
      <c r="EA564">
        <v>0</v>
      </c>
    </row>
    <row r="565" spans="1:131" x14ac:dyDescent="0.35">
      <c r="A565" s="2" t="str">
        <f>"17:50:21.460"</f>
        <v>17:50:21.460</v>
      </c>
      <c r="B565" s="4">
        <f t="shared" si="89"/>
        <v>64221.460000000006</v>
      </c>
      <c r="C565" s="4">
        <f t="shared" si="83"/>
        <v>621.4600000000064</v>
      </c>
      <c r="D565" s="3">
        <f t="shared" si="84"/>
        <v>0.74330393518518523</v>
      </c>
      <c r="E565" s="2">
        <f t="shared" si="85"/>
        <v>0.74330393518518523</v>
      </c>
      <c r="G565" t="str">
        <f t="shared" si="80"/>
        <v>FFDFD7C0</v>
      </c>
      <c r="H565" t="s">
        <v>126</v>
      </c>
      <c r="I565">
        <v>8</v>
      </c>
      <c r="J565">
        <v>1008</v>
      </c>
      <c r="K565" t="s">
        <v>129</v>
      </c>
      <c r="N565" t="s">
        <v>127</v>
      </c>
      <c r="O565">
        <v>0</v>
      </c>
      <c r="P565">
        <v>3</v>
      </c>
      <c r="Q565">
        <v>0</v>
      </c>
      <c r="R565">
        <v>2</v>
      </c>
      <c r="S565">
        <v>1</v>
      </c>
      <c r="T565">
        <v>0</v>
      </c>
      <c r="U565">
        <v>0</v>
      </c>
      <c r="W565" t="str">
        <f>"17:50:21.188"</f>
        <v>17:50:21.188</v>
      </c>
      <c r="X565" t="str">
        <f>"17:50:21.088"</f>
        <v>17:50:21.088</v>
      </c>
      <c r="Y565" t="str">
        <f t="shared" si="81"/>
        <v>A7C771</v>
      </c>
      <c r="Z565">
        <v>0</v>
      </c>
      <c r="AA565">
        <v>0</v>
      </c>
      <c r="AB565">
        <v>2</v>
      </c>
      <c r="AC565">
        <v>0</v>
      </c>
      <c r="AE565">
        <v>0</v>
      </c>
      <c r="AF565">
        <v>8</v>
      </c>
      <c r="AG565">
        <v>3</v>
      </c>
      <c r="AH565">
        <v>0</v>
      </c>
      <c r="AI565">
        <v>9</v>
      </c>
      <c r="AJ565" t="s">
        <v>125</v>
      </c>
      <c r="AK565">
        <v>0</v>
      </c>
      <c r="AL565">
        <v>3</v>
      </c>
      <c r="AM565">
        <v>2</v>
      </c>
      <c r="AN565">
        <v>1</v>
      </c>
      <c r="AO565" t="s">
        <v>1139</v>
      </c>
      <c r="AP565">
        <v>43.123891</v>
      </c>
      <c r="AQ565" t="s">
        <v>1142</v>
      </c>
      <c r="AR565">
        <v>-77.641431999999995</v>
      </c>
      <c r="AS565">
        <v>25</v>
      </c>
      <c r="AT565">
        <v>425</v>
      </c>
      <c r="AU565" t="s">
        <v>123</v>
      </c>
      <c r="AV565">
        <v>-114</v>
      </c>
      <c r="AW565">
        <v>-3</v>
      </c>
      <c r="AX565">
        <v>-512</v>
      </c>
      <c r="AZ565">
        <f t="shared" si="86"/>
        <v>12996</v>
      </c>
      <c r="BA565">
        <f t="shared" si="87"/>
        <v>9</v>
      </c>
      <c r="BB565" s="1">
        <f t="shared" si="88"/>
        <v>114.03946685248927</v>
      </c>
      <c r="BJ565">
        <v>1404</v>
      </c>
      <c r="BK565">
        <v>1</v>
      </c>
      <c r="BL565" t="str">
        <f t="shared" si="82"/>
        <v xml:space="preserve">N600C   </v>
      </c>
      <c r="BM565">
        <v>2</v>
      </c>
      <c r="BO565">
        <v>0</v>
      </c>
      <c r="BP565">
        <v>0</v>
      </c>
      <c r="BQ565">
        <v>0</v>
      </c>
      <c r="BR565">
        <v>700</v>
      </c>
      <c r="BS565">
        <v>275</v>
      </c>
      <c r="BT565" t="s">
        <v>128</v>
      </c>
      <c r="BU565">
        <v>0</v>
      </c>
      <c r="BV565">
        <v>0</v>
      </c>
      <c r="BW565">
        <v>0</v>
      </c>
      <c r="BX565">
        <v>0</v>
      </c>
      <c r="CA565">
        <v>0</v>
      </c>
      <c r="CB565">
        <v>0</v>
      </c>
      <c r="CC565">
        <v>0</v>
      </c>
      <c r="CM565" t="str">
        <f>"17:50:21.195"</f>
        <v>17:50:21.195</v>
      </c>
      <c r="CN565">
        <v>194663184</v>
      </c>
      <c r="CQ565">
        <v>0</v>
      </c>
      <c r="CR565">
        <v>2016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3</v>
      </c>
      <c r="DB565">
        <v>2</v>
      </c>
      <c r="DC565">
        <v>0</v>
      </c>
      <c r="DD565">
        <v>2</v>
      </c>
      <c r="DE565">
        <v>0</v>
      </c>
      <c r="DF565">
        <v>4</v>
      </c>
      <c r="DG565">
        <v>7</v>
      </c>
      <c r="DH565" t="s">
        <v>124</v>
      </c>
      <c r="DI565">
        <v>407</v>
      </c>
      <c r="DJ565">
        <v>3</v>
      </c>
      <c r="DK565" t="s">
        <v>132</v>
      </c>
      <c r="DL565" t="s">
        <v>133</v>
      </c>
      <c r="DO565">
        <v>1842923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1</v>
      </c>
      <c r="DW565">
        <v>0</v>
      </c>
      <c r="DX565">
        <v>0</v>
      </c>
      <c r="DY565">
        <v>0</v>
      </c>
      <c r="DZ565">
        <v>0</v>
      </c>
      <c r="EA565">
        <v>0</v>
      </c>
    </row>
    <row r="566" spans="1:131" x14ac:dyDescent="0.35">
      <c r="A566" s="2" t="str">
        <f>"17:50:22.351"</f>
        <v>17:50:22.351</v>
      </c>
      <c r="B566" s="4">
        <f t="shared" si="89"/>
        <v>64222.350999999995</v>
      </c>
      <c r="C566" s="4">
        <f t="shared" si="83"/>
        <v>622.35099999999511</v>
      </c>
      <c r="D566" s="3">
        <f t="shared" si="84"/>
        <v>0.74331424768518517</v>
      </c>
      <c r="E566" s="2">
        <f t="shared" si="85"/>
        <v>0.74331424768518517</v>
      </c>
      <c r="G566" t="str">
        <f t="shared" si="80"/>
        <v>FFDFD7C0</v>
      </c>
      <c r="H566" t="s">
        <v>126</v>
      </c>
      <c r="I566">
        <v>8</v>
      </c>
      <c r="J566">
        <v>1008</v>
      </c>
      <c r="K566" t="s">
        <v>129</v>
      </c>
      <c r="N566" t="s">
        <v>127</v>
      </c>
      <c r="O566">
        <v>0</v>
      </c>
      <c r="P566">
        <v>3</v>
      </c>
      <c r="Q566">
        <v>0</v>
      </c>
      <c r="R566">
        <v>2</v>
      </c>
      <c r="S566">
        <v>1</v>
      </c>
      <c r="T566">
        <v>0</v>
      </c>
      <c r="U566">
        <v>0</v>
      </c>
      <c r="W566" t="str">
        <f>"17:50:22.109"</f>
        <v>17:50:22.109</v>
      </c>
      <c r="X566" t="str">
        <f>"17:50:22.109"</f>
        <v>17:50:22.109</v>
      </c>
      <c r="Y566" t="str">
        <f t="shared" si="81"/>
        <v>A7C771</v>
      </c>
      <c r="Z566">
        <v>0</v>
      </c>
      <c r="AA566">
        <v>0</v>
      </c>
      <c r="AB566">
        <v>2</v>
      </c>
      <c r="AC566">
        <v>0</v>
      </c>
      <c r="AE566">
        <v>0</v>
      </c>
      <c r="AF566">
        <v>8</v>
      </c>
      <c r="AG566">
        <v>3</v>
      </c>
      <c r="AH566">
        <v>0</v>
      </c>
      <c r="AI566">
        <v>9</v>
      </c>
      <c r="AJ566" t="s">
        <v>125</v>
      </c>
      <c r="AK566">
        <v>0</v>
      </c>
      <c r="AL566">
        <v>3</v>
      </c>
      <c r="AM566">
        <v>2</v>
      </c>
      <c r="AN566">
        <v>1</v>
      </c>
      <c r="AO566" t="s">
        <v>1071</v>
      </c>
      <c r="AP566">
        <v>43.123848000000002</v>
      </c>
      <c r="AQ566" t="s">
        <v>1143</v>
      </c>
      <c r="AR566">
        <v>-77.642097000000007</v>
      </c>
      <c r="AS566">
        <v>25</v>
      </c>
      <c r="AT566">
        <v>400</v>
      </c>
      <c r="AU566" t="s">
        <v>123</v>
      </c>
      <c r="AV566">
        <v>-113</v>
      </c>
      <c r="AW566">
        <v>-3</v>
      </c>
      <c r="AX566">
        <v>-576</v>
      </c>
      <c r="AZ566">
        <f t="shared" si="86"/>
        <v>12769</v>
      </c>
      <c r="BA566">
        <f t="shared" si="87"/>
        <v>9</v>
      </c>
      <c r="BB566" s="1">
        <f t="shared" si="88"/>
        <v>113.03981599418853</v>
      </c>
      <c r="BJ566">
        <v>1404</v>
      </c>
      <c r="BK566">
        <v>1</v>
      </c>
      <c r="BL566" t="str">
        <f t="shared" si="82"/>
        <v xml:space="preserve">N600C   </v>
      </c>
      <c r="BM566">
        <v>2</v>
      </c>
      <c r="BO566">
        <v>0</v>
      </c>
      <c r="BP566">
        <v>0</v>
      </c>
      <c r="BQ566">
        <v>0</v>
      </c>
      <c r="BR566">
        <v>675</v>
      </c>
      <c r="BS566">
        <v>275</v>
      </c>
      <c r="BT566" t="s">
        <v>128</v>
      </c>
      <c r="BU566">
        <v>0</v>
      </c>
      <c r="BV566">
        <v>0</v>
      </c>
      <c r="BW566">
        <v>0</v>
      </c>
      <c r="BX566">
        <v>0</v>
      </c>
      <c r="CA566">
        <v>0</v>
      </c>
      <c r="CB566">
        <v>0</v>
      </c>
      <c r="CC566">
        <v>0</v>
      </c>
      <c r="CM566" t="str">
        <f>"17:50:22.115"</f>
        <v>17:50:22.115</v>
      </c>
      <c r="CN566">
        <v>114801438</v>
      </c>
      <c r="CQ566">
        <v>0</v>
      </c>
      <c r="CR566">
        <v>2016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3</v>
      </c>
      <c r="DB566">
        <v>2</v>
      </c>
      <c r="DC566">
        <v>0</v>
      </c>
      <c r="DD566">
        <v>2</v>
      </c>
      <c r="DE566">
        <v>0</v>
      </c>
      <c r="DF566">
        <v>4</v>
      </c>
      <c r="DG566">
        <v>7</v>
      </c>
      <c r="DH566" t="s">
        <v>124</v>
      </c>
      <c r="DI566">
        <v>71</v>
      </c>
      <c r="DJ566">
        <v>0</v>
      </c>
      <c r="DK566" t="s">
        <v>134</v>
      </c>
      <c r="DL566" t="s">
        <v>135</v>
      </c>
      <c r="DO566">
        <v>10353373</v>
      </c>
      <c r="DQ566">
        <v>0</v>
      </c>
      <c r="DR566">
        <v>0</v>
      </c>
      <c r="DS566">
        <v>1</v>
      </c>
      <c r="DT566">
        <v>0</v>
      </c>
      <c r="DU566">
        <v>0</v>
      </c>
      <c r="DV566">
        <v>1</v>
      </c>
      <c r="DW566">
        <v>0</v>
      </c>
      <c r="DX566">
        <v>0</v>
      </c>
      <c r="DY566">
        <v>0</v>
      </c>
      <c r="DZ566">
        <v>0</v>
      </c>
      <c r="EA566">
        <v>0</v>
      </c>
    </row>
    <row r="567" spans="1:131" x14ac:dyDescent="0.35">
      <c r="A567" s="2" t="str">
        <f>"17:50:23.679"</f>
        <v>17:50:23.679</v>
      </c>
      <c r="B567" s="4">
        <f t="shared" si="89"/>
        <v>64223.678999999996</v>
      </c>
      <c r="C567" s="4">
        <f t="shared" si="83"/>
        <v>623.67899999999645</v>
      </c>
      <c r="D567" s="3">
        <f t="shared" si="84"/>
        <v>0.74332961805555553</v>
      </c>
      <c r="E567" s="2">
        <f t="shared" si="85"/>
        <v>0.74332961805555553</v>
      </c>
      <c r="G567" t="str">
        <f t="shared" si="80"/>
        <v>FFDFD7C0</v>
      </c>
      <c r="H567" t="s">
        <v>126</v>
      </c>
      <c r="I567">
        <v>8</v>
      </c>
      <c r="J567">
        <v>1008</v>
      </c>
      <c r="K567" t="s">
        <v>129</v>
      </c>
      <c r="N567" t="s">
        <v>127</v>
      </c>
      <c r="O567">
        <v>0</v>
      </c>
      <c r="P567">
        <v>3</v>
      </c>
      <c r="Q567">
        <v>0</v>
      </c>
      <c r="R567">
        <v>2</v>
      </c>
      <c r="S567">
        <v>1</v>
      </c>
      <c r="T567">
        <v>0</v>
      </c>
      <c r="U567">
        <v>0</v>
      </c>
      <c r="W567" t="str">
        <f>"17:50:23.430"</f>
        <v>17:50:23.430</v>
      </c>
      <c r="X567" t="str">
        <f>"17:50:23.030"</f>
        <v>17:50:23.030</v>
      </c>
      <c r="Y567" t="str">
        <f t="shared" si="81"/>
        <v>A7C771</v>
      </c>
      <c r="Z567">
        <v>0</v>
      </c>
      <c r="AA567">
        <v>0</v>
      </c>
      <c r="AB567">
        <v>2</v>
      </c>
      <c r="AC567">
        <v>0</v>
      </c>
      <c r="AE567">
        <v>0</v>
      </c>
      <c r="AF567">
        <v>8</v>
      </c>
      <c r="AG567">
        <v>3</v>
      </c>
      <c r="AH567">
        <v>0</v>
      </c>
      <c r="AI567">
        <v>9</v>
      </c>
      <c r="AJ567" t="s">
        <v>125</v>
      </c>
      <c r="AK567">
        <v>0</v>
      </c>
      <c r="AL567">
        <v>3</v>
      </c>
      <c r="AM567">
        <v>2</v>
      </c>
      <c r="AN567">
        <v>1</v>
      </c>
      <c r="AO567" t="s">
        <v>1071</v>
      </c>
      <c r="AP567">
        <v>43.123848000000002</v>
      </c>
      <c r="AQ567" t="s">
        <v>1144</v>
      </c>
      <c r="AR567">
        <v>-77.642999000000003</v>
      </c>
      <c r="AS567">
        <v>25</v>
      </c>
      <c r="AT567">
        <v>400</v>
      </c>
      <c r="AU567" t="s">
        <v>123</v>
      </c>
      <c r="AV567">
        <v>-113</v>
      </c>
      <c r="AW567">
        <v>-4</v>
      </c>
      <c r="AX567">
        <v>-640</v>
      </c>
      <c r="AZ567">
        <f t="shared" si="86"/>
        <v>12769</v>
      </c>
      <c r="BA567">
        <f t="shared" si="87"/>
        <v>16</v>
      </c>
      <c r="BB567" s="1">
        <f t="shared" si="88"/>
        <v>113.07077429645558</v>
      </c>
      <c r="BJ567">
        <v>1404</v>
      </c>
      <c r="BK567">
        <v>1</v>
      </c>
      <c r="BL567" t="str">
        <f t="shared" si="82"/>
        <v xml:space="preserve">N600C   </v>
      </c>
      <c r="BM567">
        <v>2</v>
      </c>
      <c r="BO567">
        <v>0</v>
      </c>
      <c r="BP567">
        <v>0</v>
      </c>
      <c r="BQ567">
        <v>0</v>
      </c>
      <c r="BR567">
        <v>675</v>
      </c>
      <c r="BS567">
        <v>275</v>
      </c>
      <c r="BT567" t="s">
        <v>128</v>
      </c>
      <c r="BU567">
        <v>0</v>
      </c>
      <c r="BV567">
        <v>0</v>
      </c>
      <c r="BW567">
        <v>0</v>
      </c>
      <c r="BX567">
        <v>0</v>
      </c>
      <c r="CA567">
        <v>0</v>
      </c>
      <c r="CB567">
        <v>0</v>
      </c>
      <c r="CC567">
        <v>0</v>
      </c>
      <c r="CM567" t="str">
        <f>"17:50:23.435"</f>
        <v>17:50:23.435</v>
      </c>
      <c r="CN567">
        <v>435044110</v>
      </c>
      <c r="CQ567">
        <v>0</v>
      </c>
      <c r="CR567">
        <v>2016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3</v>
      </c>
      <c r="DB567">
        <v>2</v>
      </c>
      <c r="DC567">
        <v>0</v>
      </c>
      <c r="DD567">
        <v>2</v>
      </c>
      <c r="DE567">
        <v>0</v>
      </c>
      <c r="DF567">
        <v>2</v>
      </c>
      <c r="DG567">
        <v>7</v>
      </c>
      <c r="DH567" t="s">
        <v>124</v>
      </c>
      <c r="DI567">
        <v>71</v>
      </c>
      <c r="DJ567">
        <v>0</v>
      </c>
      <c r="DK567" t="s">
        <v>134</v>
      </c>
      <c r="DL567" t="s">
        <v>135</v>
      </c>
      <c r="DO567">
        <v>10354297</v>
      </c>
      <c r="DQ567">
        <v>0</v>
      </c>
      <c r="DR567">
        <v>0</v>
      </c>
      <c r="DS567">
        <v>1</v>
      </c>
      <c r="DT567">
        <v>0</v>
      </c>
      <c r="DU567">
        <v>0</v>
      </c>
      <c r="DV567">
        <v>1</v>
      </c>
      <c r="DW567">
        <v>0</v>
      </c>
      <c r="DX567">
        <v>0</v>
      </c>
      <c r="DY567">
        <v>0</v>
      </c>
      <c r="DZ567">
        <v>0</v>
      </c>
      <c r="EA567">
        <v>0</v>
      </c>
    </row>
    <row r="568" spans="1:131" x14ac:dyDescent="0.35">
      <c r="A568" s="2" t="str">
        <f>"17:50:24.758"</f>
        <v>17:50:24.758</v>
      </c>
      <c r="B568" s="4">
        <f t="shared" si="89"/>
        <v>64224.758000000002</v>
      </c>
      <c r="C568" s="4">
        <f t="shared" si="83"/>
        <v>624.75800000000163</v>
      </c>
      <c r="D568" s="3">
        <f t="shared" si="84"/>
        <v>0.74334210648148147</v>
      </c>
      <c r="E568" s="2">
        <f t="shared" si="85"/>
        <v>0.74334210648148147</v>
      </c>
      <c r="G568" t="str">
        <f t="shared" si="80"/>
        <v>FFDFD7C0</v>
      </c>
      <c r="H568" t="s">
        <v>126</v>
      </c>
      <c r="I568">
        <v>8</v>
      </c>
      <c r="J568">
        <v>1008</v>
      </c>
      <c r="K568" t="s">
        <v>129</v>
      </c>
      <c r="N568" t="s">
        <v>127</v>
      </c>
      <c r="O568">
        <v>0</v>
      </c>
      <c r="P568">
        <v>3</v>
      </c>
      <c r="Q568">
        <v>0</v>
      </c>
      <c r="R568">
        <v>2</v>
      </c>
      <c r="S568">
        <v>1</v>
      </c>
      <c r="T568">
        <v>0</v>
      </c>
      <c r="U568">
        <v>0</v>
      </c>
      <c r="W568" t="str">
        <f>"17:50:24.508"</f>
        <v>17:50:24.508</v>
      </c>
      <c r="X568" t="str">
        <f>"17:50:24.108"</f>
        <v>17:50:24.108</v>
      </c>
      <c r="Y568" t="str">
        <f t="shared" si="81"/>
        <v>A7C771</v>
      </c>
      <c r="Z568">
        <v>0</v>
      </c>
      <c r="AA568">
        <v>0</v>
      </c>
      <c r="AB568">
        <v>2</v>
      </c>
      <c r="AC568">
        <v>0</v>
      </c>
      <c r="AE568">
        <v>0</v>
      </c>
      <c r="AF568">
        <v>8</v>
      </c>
      <c r="AG568">
        <v>3</v>
      </c>
      <c r="AH568">
        <v>0</v>
      </c>
      <c r="AI568">
        <v>9</v>
      </c>
      <c r="AJ568" t="s">
        <v>125</v>
      </c>
      <c r="AK568">
        <v>0</v>
      </c>
      <c r="AL568">
        <v>3</v>
      </c>
      <c r="AM568">
        <v>2</v>
      </c>
      <c r="AN568">
        <v>1</v>
      </c>
      <c r="AO568" t="s">
        <v>1145</v>
      </c>
      <c r="AP568">
        <v>43.123806000000002</v>
      </c>
      <c r="AQ568" t="s">
        <v>1146</v>
      </c>
      <c r="AR568">
        <v>-77.643835999999993</v>
      </c>
      <c r="AS568">
        <v>25</v>
      </c>
      <c r="AT568">
        <v>375</v>
      </c>
      <c r="AU568" t="s">
        <v>123</v>
      </c>
      <c r="AV568">
        <v>-113</v>
      </c>
      <c r="AW568">
        <v>-4</v>
      </c>
      <c r="AX568">
        <v>-640</v>
      </c>
      <c r="AZ568">
        <f t="shared" si="86"/>
        <v>12769</v>
      </c>
      <c r="BA568">
        <f t="shared" si="87"/>
        <v>16</v>
      </c>
      <c r="BB568" s="1">
        <f t="shared" si="88"/>
        <v>113.07077429645558</v>
      </c>
      <c r="BJ568">
        <v>1404</v>
      </c>
      <c r="BK568">
        <v>1</v>
      </c>
      <c r="BL568" t="str">
        <f t="shared" si="82"/>
        <v xml:space="preserve">N600C   </v>
      </c>
      <c r="BM568">
        <v>2</v>
      </c>
      <c r="BO568">
        <v>0</v>
      </c>
      <c r="BP568">
        <v>0</v>
      </c>
      <c r="BQ568">
        <v>0</v>
      </c>
      <c r="BR568">
        <v>675</v>
      </c>
      <c r="BS568">
        <v>300</v>
      </c>
      <c r="BT568" t="s">
        <v>128</v>
      </c>
      <c r="BU568">
        <v>0</v>
      </c>
      <c r="BV568">
        <v>0</v>
      </c>
      <c r="BW568">
        <v>0</v>
      </c>
      <c r="BX568">
        <v>0</v>
      </c>
      <c r="CA568">
        <v>0</v>
      </c>
      <c r="CB568">
        <v>0</v>
      </c>
      <c r="CC568">
        <v>0</v>
      </c>
      <c r="CM568" t="str">
        <f>"17:50:24.515"</f>
        <v>17:50:24.515</v>
      </c>
      <c r="CN568">
        <v>515233806</v>
      </c>
      <c r="CQ568">
        <v>0</v>
      </c>
      <c r="CR568">
        <v>2016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3</v>
      </c>
      <c r="DB568">
        <v>2</v>
      </c>
      <c r="DC568">
        <v>0</v>
      </c>
      <c r="DD568">
        <v>2</v>
      </c>
      <c r="DE568">
        <v>0</v>
      </c>
      <c r="DF568">
        <v>2</v>
      </c>
      <c r="DG568">
        <v>7</v>
      </c>
      <c r="DH568" t="s">
        <v>124</v>
      </c>
      <c r="DI568">
        <v>71</v>
      </c>
      <c r="DJ568">
        <v>0</v>
      </c>
      <c r="DK568" t="s">
        <v>134</v>
      </c>
      <c r="DL568" t="s">
        <v>135</v>
      </c>
      <c r="DO568">
        <v>10355003</v>
      </c>
      <c r="DQ568">
        <v>0</v>
      </c>
      <c r="DR568">
        <v>0</v>
      </c>
      <c r="DS568">
        <v>1</v>
      </c>
      <c r="DT568">
        <v>0</v>
      </c>
      <c r="DU568">
        <v>0</v>
      </c>
      <c r="DV568">
        <v>1</v>
      </c>
      <c r="DW568">
        <v>0</v>
      </c>
      <c r="DX568">
        <v>0</v>
      </c>
      <c r="DY568">
        <v>0</v>
      </c>
      <c r="DZ568">
        <v>0</v>
      </c>
      <c r="EA568">
        <v>0</v>
      </c>
    </row>
    <row r="569" spans="1:131" x14ac:dyDescent="0.35">
      <c r="A569" s="2" t="str">
        <f>"17:50:25.664"</f>
        <v>17:50:25.664</v>
      </c>
      <c r="B569" s="4">
        <f t="shared" si="89"/>
        <v>64225.663999999997</v>
      </c>
      <c r="C569" s="4">
        <f t="shared" si="83"/>
        <v>625.66399999999703</v>
      </c>
      <c r="D569" s="3">
        <f t="shared" si="84"/>
        <v>0.74335259259259256</v>
      </c>
      <c r="E569" s="2">
        <f t="shared" si="85"/>
        <v>0.74335259259259256</v>
      </c>
      <c r="G569" t="str">
        <f t="shared" si="80"/>
        <v>FFDFD7C0</v>
      </c>
      <c r="H569" t="s">
        <v>126</v>
      </c>
      <c r="I569">
        <v>8</v>
      </c>
      <c r="J569">
        <v>1008</v>
      </c>
      <c r="K569" t="s">
        <v>129</v>
      </c>
      <c r="N569" t="s">
        <v>127</v>
      </c>
      <c r="O569">
        <v>0</v>
      </c>
      <c r="P569">
        <v>3</v>
      </c>
      <c r="Q569">
        <v>0</v>
      </c>
      <c r="R569">
        <v>2</v>
      </c>
      <c r="S569">
        <v>1</v>
      </c>
      <c r="T569">
        <v>0</v>
      </c>
      <c r="U569">
        <v>0</v>
      </c>
      <c r="W569" t="str">
        <f>"17:50:25.445"</f>
        <v>17:50:25.445</v>
      </c>
      <c r="X569" t="str">
        <f>"17:50:25.045"</f>
        <v>17:50:25.045</v>
      </c>
      <c r="Y569" t="str">
        <f t="shared" si="81"/>
        <v>A7C771</v>
      </c>
      <c r="Z569">
        <v>0</v>
      </c>
      <c r="AA569">
        <v>0</v>
      </c>
      <c r="AB569">
        <v>2</v>
      </c>
      <c r="AC569">
        <v>0</v>
      </c>
      <c r="AE569">
        <v>0</v>
      </c>
      <c r="AF569">
        <v>8</v>
      </c>
      <c r="AG569">
        <v>3</v>
      </c>
      <c r="AH569">
        <v>0</v>
      </c>
      <c r="AI569">
        <v>9</v>
      </c>
      <c r="AJ569" t="s">
        <v>125</v>
      </c>
      <c r="AK569">
        <v>0</v>
      </c>
      <c r="AL569">
        <v>3</v>
      </c>
      <c r="AM569">
        <v>2</v>
      </c>
      <c r="AN569">
        <v>1</v>
      </c>
      <c r="AO569" t="s">
        <v>1145</v>
      </c>
      <c r="AP569">
        <v>43.123806000000002</v>
      </c>
      <c r="AQ569" t="s">
        <v>1147</v>
      </c>
      <c r="AR569">
        <v>-77.644435999999999</v>
      </c>
      <c r="AS569">
        <v>25</v>
      </c>
      <c r="AT569">
        <v>375</v>
      </c>
      <c r="AU569" t="s">
        <v>123</v>
      </c>
      <c r="AV569">
        <v>-114</v>
      </c>
      <c r="AW569">
        <v>-5</v>
      </c>
      <c r="AX569">
        <v>-640</v>
      </c>
      <c r="AZ569">
        <f t="shared" si="86"/>
        <v>12996</v>
      </c>
      <c r="BA569">
        <f t="shared" si="87"/>
        <v>25</v>
      </c>
      <c r="BB569" s="1">
        <f t="shared" si="88"/>
        <v>114.10959644131601</v>
      </c>
      <c r="BJ569">
        <v>1404</v>
      </c>
      <c r="BK569">
        <v>1</v>
      </c>
      <c r="BL569" t="str">
        <f t="shared" si="82"/>
        <v xml:space="preserve">N600C   </v>
      </c>
      <c r="BM569">
        <v>2</v>
      </c>
      <c r="BO569">
        <v>0</v>
      </c>
      <c r="BP569">
        <v>0</v>
      </c>
      <c r="BQ569">
        <v>0</v>
      </c>
      <c r="BR569">
        <v>650</v>
      </c>
      <c r="BS569">
        <v>275</v>
      </c>
      <c r="BT569" t="s">
        <v>128</v>
      </c>
      <c r="BU569">
        <v>0</v>
      </c>
      <c r="BV569">
        <v>0</v>
      </c>
      <c r="BW569">
        <v>0</v>
      </c>
      <c r="BX569">
        <v>0</v>
      </c>
      <c r="CA569">
        <v>0</v>
      </c>
      <c r="CB569">
        <v>0</v>
      </c>
      <c r="CC569">
        <v>0</v>
      </c>
      <c r="CM569" t="str">
        <f>"17:50:25.451"</f>
        <v>17:50:25.451</v>
      </c>
      <c r="CN569">
        <v>451415616</v>
      </c>
      <c r="CQ569">
        <v>0</v>
      </c>
      <c r="CR569">
        <v>2016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3</v>
      </c>
      <c r="DB569">
        <v>2</v>
      </c>
      <c r="DC569">
        <v>0</v>
      </c>
      <c r="DD569">
        <v>2</v>
      </c>
      <c r="DE569">
        <v>0</v>
      </c>
      <c r="DF569">
        <v>3</v>
      </c>
      <c r="DG569">
        <v>7</v>
      </c>
      <c r="DH569" t="s">
        <v>124</v>
      </c>
      <c r="DI569">
        <v>71</v>
      </c>
      <c r="DJ569">
        <v>0</v>
      </c>
      <c r="DK569" t="s">
        <v>134</v>
      </c>
      <c r="DL569" t="s">
        <v>135</v>
      </c>
      <c r="DO569">
        <v>10355626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1</v>
      </c>
      <c r="DW569">
        <v>0</v>
      </c>
      <c r="DX569">
        <v>0</v>
      </c>
      <c r="DY569">
        <v>0</v>
      </c>
      <c r="DZ569">
        <v>0</v>
      </c>
      <c r="EA569">
        <v>0</v>
      </c>
    </row>
    <row r="570" spans="1:131" x14ac:dyDescent="0.35">
      <c r="A570" s="2" t="str">
        <f>"17:50:26.648"</f>
        <v>17:50:26.648</v>
      </c>
      <c r="B570" s="4">
        <f t="shared" si="89"/>
        <v>64226.648000000001</v>
      </c>
      <c r="C570" s="4">
        <f t="shared" si="83"/>
        <v>626.64800000000105</v>
      </c>
      <c r="D570" s="3">
        <f t="shared" si="84"/>
        <v>0.74336398148148153</v>
      </c>
      <c r="E570" s="2">
        <f t="shared" si="85"/>
        <v>0.74336398148148153</v>
      </c>
      <c r="G570" t="str">
        <f t="shared" si="80"/>
        <v>FFDFD7C0</v>
      </c>
      <c r="H570" t="s">
        <v>126</v>
      </c>
      <c r="I570">
        <v>8</v>
      </c>
      <c r="J570">
        <v>1008</v>
      </c>
      <c r="K570" t="s">
        <v>129</v>
      </c>
      <c r="N570" t="s">
        <v>127</v>
      </c>
      <c r="O570">
        <v>0</v>
      </c>
      <c r="P570">
        <v>3</v>
      </c>
      <c r="Q570">
        <v>0</v>
      </c>
      <c r="R570">
        <v>2</v>
      </c>
      <c r="S570">
        <v>1</v>
      </c>
      <c r="T570">
        <v>0</v>
      </c>
      <c r="U570">
        <v>0</v>
      </c>
      <c r="W570" t="str">
        <f>"17:50:26.391"</f>
        <v>17:50:26.391</v>
      </c>
      <c r="X570" t="str">
        <f>"17:50:26.191"</f>
        <v>17:50:26.191</v>
      </c>
      <c r="Y570" t="str">
        <f t="shared" si="81"/>
        <v>A7C771</v>
      </c>
      <c r="Z570">
        <v>0</v>
      </c>
      <c r="AA570">
        <v>0</v>
      </c>
      <c r="AB570">
        <v>2</v>
      </c>
      <c r="AC570">
        <v>0</v>
      </c>
      <c r="AE570">
        <v>0</v>
      </c>
      <c r="AF570">
        <v>8</v>
      </c>
      <c r="AG570">
        <v>3</v>
      </c>
      <c r="AH570">
        <v>0</v>
      </c>
      <c r="AI570">
        <v>9</v>
      </c>
      <c r="AJ570" t="s">
        <v>125</v>
      </c>
      <c r="AK570">
        <v>0</v>
      </c>
      <c r="AL570">
        <v>3</v>
      </c>
      <c r="AM570">
        <v>2</v>
      </c>
      <c r="AN570">
        <v>1</v>
      </c>
      <c r="AO570" t="s">
        <v>1069</v>
      </c>
      <c r="AP570">
        <v>43.123762999999997</v>
      </c>
      <c r="AQ570" t="s">
        <v>1148</v>
      </c>
      <c r="AR570">
        <v>-77.645144000000002</v>
      </c>
      <c r="AS570">
        <v>25</v>
      </c>
      <c r="AT570">
        <v>350</v>
      </c>
      <c r="AU570" t="s">
        <v>123</v>
      </c>
      <c r="AV570">
        <v>-114</v>
      </c>
      <c r="AW570">
        <v>-5</v>
      </c>
      <c r="AX570">
        <v>-576</v>
      </c>
      <c r="AZ570">
        <f t="shared" si="86"/>
        <v>12996</v>
      </c>
      <c r="BA570">
        <f t="shared" si="87"/>
        <v>25</v>
      </c>
      <c r="BB570" s="1">
        <f t="shared" si="88"/>
        <v>114.10959644131601</v>
      </c>
      <c r="BJ570">
        <v>1404</v>
      </c>
      <c r="BK570">
        <v>1</v>
      </c>
      <c r="BL570" t="str">
        <f t="shared" si="82"/>
        <v xml:space="preserve">N600C   </v>
      </c>
      <c r="BM570">
        <v>2</v>
      </c>
      <c r="BO570">
        <v>0</v>
      </c>
      <c r="BP570">
        <v>0</v>
      </c>
      <c r="BQ570">
        <v>0</v>
      </c>
      <c r="BR570">
        <v>625</v>
      </c>
      <c r="BS570">
        <v>275</v>
      </c>
      <c r="BT570" t="s">
        <v>128</v>
      </c>
      <c r="BU570">
        <v>0</v>
      </c>
      <c r="BV570">
        <v>0</v>
      </c>
      <c r="BW570">
        <v>0</v>
      </c>
      <c r="BX570">
        <v>0</v>
      </c>
      <c r="CA570">
        <v>0</v>
      </c>
      <c r="CB570">
        <v>0</v>
      </c>
      <c r="CC570">
        <v>0</v>
      </c>
      <c r="CM570" t="str">
        <f>"17:50:26.396"</f>
        <v>17:50:26.396</v>
      </c>
      <c r="CN570">
        <v>395585865</v>
      </c>
      <c r="CQ570">
        <v>0</v>
      </c>
      <c r="CR570">
        <v>2016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3</v>
      </c>
      <c r="DB570">
        <v>2</v>
      </c>
      <c r="DC570">
        <v>0</v>
      </c>
      <c r="DD570">
        <v>2</v>
      </c>
      <c r="DE570">
        <v>0</v>
      </c>
      <c r="DF570">
        <v>2</v>
      </c>
      <c r="DG570">
        <v>7</v>
      </c>
      <c r="DH570" t="s">
        <v>124</v>
      </c>
      <c r="DI570">
        <v>71</v>
      </c>
      <c r="DJ570">
        <v>1</v>
      </c>
      <c r="DK570" t="s">
        <v>134</v>
      </c>
      <c r="DL570" t="s">
        <v>135</v>
      </c>
      <c r="DO570">
        <v>11736259</v>
      </c>
      <c r="DQ570">
        <v>0</v>
      </c>
      <c r="DR570">
        <v>0</v>
      </c>
      <c r="DS570">
        <v>1</v>
      </c>
      <c r="DT570">
        <v>0</v>
      </c>
      <c r="DU570">
        <v>0</v>
      </c>
      <c r="DV570">
        <v>1</v>
      </c>
      <c r="DW570">
        <v>0</v>
      </c>
      <c r="DX570">
        <v>0</v>
      </c>
      <c r="DY570">
        <v>0</v>
      </c>
      <c r="DZ570">
        <v>0</v>
      </c>
      <c r="EA570">
        <v>0</v>
      </c>
    </row>
    <row r="571" spans="1:131" x14ac:dyDescent="0.35">
      <c r="A571" s="2" t="str">
        <f>"17:50:27.852"</f>
        <v>17:50:27.852</v>
      </c>
      <c r="B571" s="4">
        <f t="shared" si="89"/>
        <v>64227.851999999999</v>
      </c>
      <c r="C571" s="4">
        <f t="shared" si="83"/>
        <v>627.85199999999895</v>
      </c>
      <c r="D571" s="3">
        <f t="shared" si="84"/>
        <v>0.74337791666666664</v>
      </c>
      <c r="E571" s="2">
        <f t="shared" si="85"/>
        <v>0.74337791666666664</v>
      </c>
      <c r="G571" t="str">
        <f t="shared" si="80"/>
        <v>FFDFD7C0</v>
      </c>
      <c r="H571" t="s">
        <v>126</v>
      </c>
      <c r="I571">
        <v>8</v>
      </c>
      <c r="J571">
        <v>1008</v>
      </c>
      <c r="K571" t="s">
        <v>129</v>
      </c>
      <c r="N571" t="s">
        <v>127</v>
      </c>
      <c r="O571">
        <v>0</v>
      </c>
      <c r="P571">
        <v>3</v>
      </c>
      <c r="Q571">
        <v>0</v>
      </c>
      <c r="R571">
        <v>2</v>
      </c>
      <c r="S571">
        <v>1</v>
      </c>
      <c r="T571">
        <v>0</v>
      </c>
      <c r="U571">
        <v>0</v>
      </c>
      <c r="W571" t="str">
        <f>"17:50:27.500"</f>
        <v>17:50:27.500</v>
      </c>
      <c r="X571" t="str">
        <f>"17:50:27.200"</f>
        <v>17:50:27.200</v>
      </c>
      <c r="Y571" t="str">
        <f t="shared" si="81"/>
        <v>A7C771</v>
      </c>
      <c r="Z571">
        <v>0</v>
      </c>
      <c r="AA571">
        <v>0</v>
      </c>
      <c r="AB571">
        <v>2</v>
      </c>
      <c r="AC571">
        <v>0</v>
      </c>
      <c r="AE571">
        <v>0</v>
      </c>
      <c r="AF571">
        <v>8</v>
      </c>
      <c r="AG571">
        <v>3</v>
      </c>
      <c r="AH571">
        <v>0</v>
      </c>
      <c r="AI571">
        <v>9</v>
      </c>
      <c r="AJ571" t="s">
        <v>125</v>
      </c>
      <c r="AK571">
        <v>0</v>
      </c>
      <c r="AL571">
        <v>3</v>
      </c>
      <c r="AM571">
        <v>2</v>
      </c>
      <c r="AN571">
        <v>1</v>
      </c>
      <c r="AO571" t="s">
        <v>1069</v>
      </c>
      <c r="AP571">
        <v>43.123762999999997</v>
      </c>
      <c r="AQ571" t="s">
        <v>1149</v>
      </c>
      <c r="AR571">
        <v>-77.645938000000001</v>
      </c>
      <c r="AS571">
        <v>25</v>
      </c>
      <c r="AT571">
        <v>350</v>
      </c>
      <c r="AU571" t="s">
        <v>123</v>
      </c>
      <c r="AV571">
        <v>-114</v>
      </c>
      <c r="AW571">
        <v>-5</v>
      </c>
      <c r="AX571">
        <v>-640</v>
      </c>
      <c r="AZ571">
        <f t="shared" si="86"/>
        <v>12996</v>
      </c>
      <c r="BA571">
        <f t="shared" si="87"/>
        <v>25</v>
      </c>
      <c r="BB571" s="1">
        <f t="shared" si="88"/>
        <v>114.10959644131601</v>
      </c>
      <c r="BJ571">
        <v>1404</v>
      </c>
      <c r="BK571">
        <v>1</v>
      </c>
      <c r="BL571" t="str">
        <f t="shared" si="82"/>
        <v xml:space="preserve">N600C   </v>
      </c>
      <c r="BM571">
        <v>2</v>
      </c>
      <c r="BO571">
        <v>0</v>
      </c>
      <c r="BP571">
        <v>0</v>
      </c>
      <c r="BQ571">
        <v>0</v>
      </c>
      <c r="BR571">
        <v>600</v>
      </c>
      <c r="BS571">
        <v>250</v>
      </c>
      <c r="BT571" t="s">
        <v>128</v>
      </c>
      <c r="BU571">
        <v>0</v>
      </c>
      <c r="BV571">
        <v>0</v>
      </c>
      <c r="BW571">
        <v>0</v>
      </c>
      <c r="BX571">
        <v>0</v>
      </c>
      <c r="CA571">
        <v>0</v>
      </c>
      <c r="CB571">
        <v>0</v>
      </c>
      <c r="CC571">
        <v>0</v>
      </c>
      <c r="CM571" t="str">
        <f>"17:50:27.508"</f>
        <v>17:50:27.508</v>
      </c>
      <c r="CN571">
        <v>507792746</v>
      </c>
      <c r="CQ571">
        <v>0</v>
      </c>
      <c r="CR571">
        <v>2016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3</v>
      </c>
      <c r="DB571">
        <v>2</v>
      </c>
      <c r="DC571">
        <v>0</v>
      </c>
      <c r="DD571">
        <v>2</v>
      </c>
      <c r="DE571">
        <v>0</v>
      </c>
      <c r="DF571">
        <v>2</v>
      </c>
      <c r="DG571">
        <v>7</v>
      </c>
      <c r="DH571" t="s">
        <v>124</v>
      </c>
      <c r="DI571">
        <v>71</v>
      </c>
      <c r="DJ571">
        <v>0</v>
      </c>
      <c r="DK571" t="s">
        <v>134</v>
      </c>
      <c r="DL571" t="s">
        <v>135</v>
      </c>
      <c r="DO571">
        <v>10357090</v>
      </c>
      <c r="DQ571">
        <v>0</v>
      </c>
      <c r="DR571">
        <v>0</v>
      </c>
      <c r="DS571">
        <v>1</v>
      </c>
      <c r="DT571">
        <v>0</v>
      </c>
      <c r="DU571">
        <v>0</v>
      </c>
      <c r="DV571">
        <v>1</v>
      </c>
      <c r="DW571">
        <v>0</v>
      </c>
      <c r="DX571">
        <v>0</v>
      </c>
      <c r="DY571">
        <v>0</v>
      </c>
      <c r="DZ571">
        <v>0</v>
      </c>
      <c r="EA571">
        <v>0</v>
      </c>
    </row>
    <row r="572" spans="1:131" x14ac:dyDescent="0.35">
      <c r="A572" s="2" t="str">
        <f>"17:50:28.617"</f>
        <v>17:50:28.617</v>
      </c>
      <c r="B572" s="4">
        <f t="shared" si="89"/>
        <v>64228.616999999991</v>
      </c>
      <c r="C572" s="4">
        <f t="shared" si="83"/>
        <v>628.61699999999109</v>
      </c>
      <c r="D572" s="3">
        <f t="shared" si="84"/>
        <v>0.74338677083333327</v>
      </c>
      <c r="E572" s="2">
        <f t="shared" si="85"/>
        <v>0.74338677083333327</v>
      </c>
      <c r="G572" t="str">
        <f t="shared" si="80"/>
        <v>FFDFD7C0</v>
      </c>
      <c r="H572" t="s">
        <v>126</v>
      </c>
      <c r="I572">
        <v>8</v>
      </c>
      <c r="J572">
        <v>1008</v>
      </c>
      <c r="K572" t="s">
        <v>129</v>
      </c>
      <c r="N572" t="s">
        <v>127</v>
      </c>
      <c r="O572">
        <v>0</v>
      </c>
      <c r="P572">
        <v>3</v>
      </c>
      <c r="Q572">
        <v>0</v>
      </c>
      <c r="R572">
        <v>2</v>
      </c>
      <c r="S572">
        <v>1</v>
      </c>
      <c r="T572">
        <v>0</v>
      </c>
      <c r="U572">
        <v>0</v>
      </c>
      <c r="W572" t="str">
        <f>"17:50:28.375"</f>
        <v>17:50:28.375</v>
      </c>
      <c r="X572" t="str">
        <f>"17:50:27.275"</f>
        <v>17:50:27.275</v>
      </c>
      <c r="Y572" t="str">
        <f t="shared" si="81"/>
        <v>A7C771</v>
      </c>
      <c r="Z572">
        <v>0</v>
      </c>
      <c r="AA572">
        <v>0</v>
      </c>
      <c r="AB572">
        <v>2</v>
      </c>
      <c r="AC572">
        <v>0</v>
      </c>
      <c r="AE572">
        <v>0</v>
      </c>
      <c r="AF572">
        <v>8</v>
      </c>
      <c r="AG572">
        <v>3</v>
      </c>
      <c r="AH572">
        <v>0</v>
      </c>
      <c r="AI572">
        <v>9</v>
      </c>
      <c r="AJ572" t="s">
        <v>125</v>
      </c>
      <c r="AK572">
        <v>0</v>
      </c>
      <c r="AL572">
        <v>3</v>
      </c>
      <c r="AM572">
        <v>2</v>
      </c>
      <c r="AN572">
        <v>1</v>
      </c>
      <c r="AO572" t="s">
        <v>1150</v>
      </c>
      <c r="AP572">
        <v>43.123719999999999</v>
      </c>
      <c r="AQ572" t="s">
        <v>1151</v>
      </c>
      <c r="AR572">
        <v>-77.646603999999996</v>
      </c>
      <c r="AS572">
        <v>25</v>
      </c>
      <c r="AT572">
        <v>325</v>
      </c>
      <c r="AU572" t="s">
        <v>123</v>
      </c>
      <c r="AV572">
        <v>-114</v>
      </c>
      <c r="AW572">
        <v>-5</v>
      </c>
      <c r="AX572">
        <v>-640</v>
      </c>
      <c r="AZ572">
        <f t="shared" si="86"/>
        <v>12996</v>
      </c>
      <c r="BA572">
        <f t="shared" si="87"/>
        <v>25</v>
      </c>
      <c r="BB572" s="1">
        <f t="shared" si="88"/>
        <v>114.10959644131601</v>
      </c>
      <c r="BJ572">
        <v>1404</v>
      </c>
      <c r="BK572">
        <v>1</v>
      </c>
      <c r="BL572" t="str">
        <f t="shared" si="82"/>
        <v xml:space="preserve">N600C   </v>
      </c>
      <c r="BM572">
        <v>2</v>
      </c>
      <c r="BO572">
        <v>0</v>
      </c>
      <c r="BP572">
        <v>0</v>
      </c>
      <c r="BQ572">
        <v>0</v>
      </c>
      <c r="BR572">
        <v>600</v>
      </c>
      <c r="BS572">
        <v>275</v>
      </c>
      <c r="BT572" t="s">
        <v>128</v>
      </c>
      <c r="BU572">
        <v>0</v>
      </c>
      <c r="BV572">
        <v>0</v>
      </c>
      <c r="BW572">
        <v>0</v>
      </c>
      <c r="BX572">
        <v>0</v>
      </c>
      <c r="CA572">
        <v>0</v>
      </c>
      <c r="CB572">
        <v>0</v>
      </c>
      <c r="CC572">
        <v>0</v>
      </c>
      <c r="CM572" t="str">
        <f>"17:50:28.380"</f>
        <v>17:50:28.380</v>
      </c>
      <c r="CN572">
        <v>379964300</v>
      </c>
      <c r="CQ572">
        <v>0</v>
      </c>
      <c r="CR572">
        <v>2016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3</v>
      </c>
      <c r="DB572">
        <v>2</v>
      </c>
      <c r="DC572">
        <v>0</v>
      </c>
      <c r="DD572">
        <v>2</v>
      </c>
      <c r="DE572">
        <v>0</v>
      </c>
      <c r="DF572">
        <v>2</v>
      </c>
      <c r="DG572">
        <v>7</v>
      </c>
      <c r="DH572" t="s">
        <v>124</v>
      </c>
      <c r="DI572">
        <v>71</v>
      </c>
      <c r="DJ572">
        <v>0</v>
      </c>
      <c r="DK572" t="s">
        <v>134</v>
      </c>
      <c r="DL572" t="s">
        <v>135</v>
      </c>
      <c r="DO572">
        <v>10357707</v>
      </c>
      <c r="DQ572">
        <v>0</v>
      </c>
      <c r="DR572">
        <v>0</v>
      </c>
      <c r="DS572">
        <v>1</v>
      </c>
      <c r="DT572">
        <v>0</v>
      </c>
      <c r="DU572">
        <v>0</v>
      </c>
      <c r="DV572">
        <v>1</v>
      </c>
      <c r="DW572">
        <v>0</v>
      </c>
      <c r="DX572">
        <v>0</v>
      </c>
      <c r="DY572">
        <v>0</v>
      </c>
      <c r="DZ572">
        <v>0</v>
      </c>
      <c r="EA572">
        <v>0</v>
      </c>
    </row>
    <row r="573" spans="1:131" x14ac:dyDescent="0.35">
      <c r="A573" s="2" t="str">
        <f>"17:50:29.710"</f>
        <v>17:50:29.710</v>
      </c>
      <c r="B573" s="4">
        <f t="shared" si="89"/>
        <v>64229.71</v>
      </c>
      <c r="C573" s="4">
        <f t="shared" si="83"/>
        <v>629.70999999999913</v>
      </c>
      <c r="D573" s="3">
        <f t="shared" si="84"/>
        <v>0.74339942129629633</v>
      </c>
      <c r="E573" s="2">
        <f t="shared" si="85"/>
        <v>0.74339942129629633</v>
      </c>
      <c r="G573" t="str">
        <f t="shared" si="80"/>
        <v>FFDFD7C0</v>
      </c>
      <c r="H573" t="s">
        <v>126</v>
      </c>
      <c r="I573">
        <v>8</v>
      </c>
      <c r="J573">
        <v>1008</v>
      </c>
      <c r="K573" t="s">
        <v>129</v>
      </c>
      <c r="N573" t="s">
        <v>127</v>
      </c>
      <c r="O573">
        <v>0</v>
      </c>
      <c r="P573">
        <v>3</v>
      </c>
      <c r="Q573">
        <v>0</v>
      </c>
      <c r="R573">
        <v>2</v>
      </c>
      <c r="S573">
        <v>1</v>
      </c>
      <c r="T573">
        <v>0</v>
      </c>
      <c r="U573">
        <v>0</v>
      </c>
      <c r="W573" t="str">
        <f>"17:50:29.422"</f>
        <v>17:50:29.422</v>
      </c>
      <c r="X573" t="str">
        <f>"17:50:29.222"</f>
        <v>17:50:29.222</v>
      </c>
      <c r="Y573" t="str">
        <f t="shared" si="81"/>
        <v>A7C771</v>
      </c>
      <c r="Z573">
        <v>0</v>
      </c>
      <c r="AA573">
        <v>0</v>
      </c>
      <c r="AB573">
        <v>2</v>
      </c>
      <c r="AC573">
        <v>0</v>
      </c>
      <c r="AE573">
        <v>0</v>
      </c>
      <c r="AF573">
        <v>8</v>
      </c>
      <c r="AG573">
        <v>3</v>
      </c>
      <c r="AH573">
        <v>0</v>
      </c>
      <c r="AI573">
        <v>9</v>
      </c>
      <c r="AJ573" t="s">
        <v>125</v>
      </c>
      <c r="AK573">
        <v>0</v>
      </c>
      <c r="AL573">
        <v>3</v>
      </c>
      <c r="AM573">
        <v>2</v>
      </c>
      <c r="AN573">
        <v>1</v>
      </c>
      <c r="AO573" t="s">
        <v>1150</v>
      </c>
      <c r="AP573">
        <v>43.123719999999999</v>
      </c>
      <c r="AQ573" t="s">
        <v>1152</v>
      </c>
      <c r="AR573">
        <v>-77.647311999999999</v>
      </c>
      <c r="AS573">
        <v>25</v>
      </c>
      <c r="AT573">
        <v>325</v>
      </c>
      <c r="AU573" t="s">
        <v>123</v>
      </c>
      <c r="AV573">
        <v>-114</v>
      </c>
      <c r="AW573">
        <v>-4</v>
      </c>
      <c r="AX573">
        <v>-832</v>
      </c>
      <c r="AZ573">
        <f t="shared" si="86"/>
        <v>12996</v>
      </c>
      <c r="BA573">
        <f t="shared" si="87"/>
        <v>16</v>
      </c>
      <c r="BB573" s="1">
        <f t="shared" si="88"/>
        <v>114.0701538527936</v>
      </c>
      <c r="BJ573">
        <v>1404</v>
      </c>
      <c r="BK573">
        <v>1</v>
      </c>
      <c r="BL573" t="str">
        <f t="shared" si="82"/>
        <v xml:space="preserve">N600C   </v>
      </c>
      <c r="BM573">
        <v>2</v>
      </c>
      <c r="BO573">
        <v>0</v>
      </c>
      <c r="BP573">
        <v>0</v>
      </c>
      <c r="BQ573">
        <v>0</v>
      </c>
      <c r="BR573">
        <v>575</v>
      </c>
      <c r="BS573">
        <v>250</v>
      </c>
      <c r="BT573" t="s">
        <v>128</v>
      </c>
      <c r="BU573">
        <v>0</v>
      </c>
      <c r="BV573">
        <v>0</v>
      </c>
      <c r="BW573">
        <v>0</v>
      </c>
      <c r="BX573">
        <v>0</v>
      </c>
      <c r="CA573">
        <v>0</v>
      </c>
      <c r="CB573">
        <v>0</v>
      </c>
      <c r="CC573">
        <v>0</v>
      </c>
      <c r="CM573" t="str">
        <f>"17:50:29.428"</f>
        <v>17:50:29.428</v>
      </c>
      <c r="CN573">
        <v>428159402</v>
      </c>
      <c r="CQ573">
        <v>0</v>
      </c>
      <c r="CR573">
        <v>2016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3</v>
      </c>
      <c r="DB573">
        <v>2</v>
      </c>
      <c r="DC573">
        <v>0</v>
      </c>
      <c r="DD573">
        <v>2</v>
      </c>
      <c r="DE573">
        <v>0</v>
      </c>
      <c r="DF573">
        <v>2</v>
      </c>
      <c r="DG573">
        <v>7</v>
      </c>
      <c r="DH573" t="s">
        <v>124</v>
      </c>
      <c r="DI573">
        <v>71</v>
      </c>
      <c r="DJ573">
        <v>0</v>
      </c>
      <c r="DK573" t="s">
        <v>134</v>
      </c>
      <c r="DL573" t="s">
        <v>135</v>
      </c>
      <c r="DO573">
        <v>10358363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1</v>
      </c>
      <c r="DW573">
        <v>0</v>
      </c>
      <c r="DX573">
        <v>0</v>
      </c>
      <c r="DY573">
        <v>0</v>
      </c>
      <c r="DZ573">
        <v>0</v>
      </c>
      <c r="EA573">
        <v>0</v>
      </c>
    </row>
  </sheetData>
  <sortState xmlns:xlrd2="http://schemas.microsoft.com/office/spreadsheetml/2017/richdata2" ref="A3:EA573">
    <sortCondition ref="K3:K573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20230211_A7C771_507513747_ADSB_</vt:lpstr>
      <vt:lpstr>groundspeed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Brazy</dc:creator>
  <cp:lastModifiedBy>Brian Rayner</cp:lastModifiedBy>
  <dcterms:created xsi:type="dcterms:W3CDTF">2024-07-05T21:20:09Z</dcterms:created>
  <dcterms:modified xsi:type="dcterms:W3CDTF">2024-07-06T13:28:55Z</dcterms:modified>
</cp:coreProperties>
</file>